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edewerker\Desktop\"/>
    </mc:Choice>
  </mc:AlternateContent>
  <xr:revisionPtr revIDLastSave="0" documentId="8_{FA0E87E8-3331-4E68-9864-DCD595A8F325}" xr6:coauthVersionLast="45" xr6:coauthVersionMax="45" xr10:uidLastSave="{00000000-0000-0000-0000-000000000000}"/>
  <bookViews>
    <workbookView xWindow="-108" yWindow="-108" windowWidth="23256" windowHeight="12576" tabRatio="855" xr2:uid="{00000000-000D-0000-FFFF-FFFF00000000}"/>
  </bookViews>
  <sheets>
    <sheet name="Lokale opbrengst WP Deil" sheetId="29" r:id="rId1"/>
    <sheet name="Lokale opbrengst WP Avri" sheetId="30" r:id="rId2"/>
    <sheet name="Avri Solar" sheetId="31" r:id="rId3"/>
    <sheet name="Bedrijfsdak" sheetId="32" r:id="rId4"/>
    <sheet name="Nijmegen-Betuwe" sheetId="33" r:id="rId5"/>
  </sheets>
  <calcPr calcId="191029"/>
</workbook>
</file>

<file path=xl/calcChain.xml><?xml version="1.0" encoding="utf-8"?>
<calcChain xmlns="http://schemas.openxmlformats.org/spreadsheetml/2006/main">
  <c r="L26" i="32" l="1"/>
  <c r="K26" i="32"/>
  <c r="J26" i="32"/>
  <c r="M25" i="32"/>
  <c r="L25" i="32"/>
  <c r="K25" i="32"/>
  <c r="J25" i="32"/>
  <c r="K24" i="32"/>
  <c r="J24" i="32"/>
  <c r="L23" i="32"/>
  <c r="K23" i="32"/>
  <c r="J23" i="32"/>
  <c r="K22" i="32"/>
  <c r="J22" i="32"/>
  <c r="M21" i="32"/>
  <c r="L21" i="32"/>
  <c r="K21" i="32"/>
  <c r="J21" i="32"/>
  <c r="J27" i="32" s="1"/>
  <c r="M20" i="32"/>
  <c r="L20" i="32"/>
  <c r="K20" i="32"/>
  <c r="J20" i="32"/>
  <c r="L16" i="32"/>
  <c r="K16" i="32"/>
  <c r="J16" i="32"/>
  <c r="L15" i="32"/>
  <c r="K15" i="32"/>
  <c r="J15" i="32"/>
  <c r="M14" i="32"/>
  <c r="L14" i="32"/>
  <c r="K14" i="32"/>
  <c r="J14" i="32"/>
  <c r="M13" i="32"/>
  <c r="L13" i="32"/>
  <c r="L17" i="32" s="1"/>
  <c r="K13" i="32"/>
  <c r="J13" i="32"/>
  <c r="J17" i="32" s="1"/>
  <c r="M7" i="32"/>
  <c r="L7" i="32"/>
  <c r="K7" i="32"/>
  <c r="J7" i="32"/>
  <c r="L6" i="32"/>
  <c r="K6" i="32"/>
  <c r="J6" i="32"/>
  <c r="M5" i="32"/>
  <c r="K5" i="32"/>
  <c r="J5" i="32"/>
  <c r="K4" i="32"/>
  <c r="M3" i="32"/>
  <c r="L3" i="32"/>
  <c r="K3" i="32"/>
  <c r="J3" i="32"/>
  <c r="J35" i="32"/>
  <c r="M11" i="32"/>
  <c r="M2" i="32"/>
  <c r="L2" i="32"/>
  <c r="D27" i="33"/>
  <c r="C27" i="33"/>
  <c r="K8" i="32" l="1"/>
  <c r="K27" i="32"/>
  <c r="K30" i="32"/>
  <c r="C25" i="33" l="1"/>
  <c r="D25" i="33" s="1"/>
  <c r="C24" i="33"/>
  <c r="F24" i="33" s="1"/>
  <c r="C23" i="33"/>
  <c r="C21" i="33"/>
  <c r="H21" i="33" s="1"/>
  <c r="H25" i="33"/>
  <c r="C13" i="33"/>
  <c r="H36" i="33"/>
  <c r="C36" i="33"/>
  <c r="H35" i="33"/>
  <c r="H34" i="33"/>
  <c r="H27" i="33"/>
  <c r="F27" i="33"/>
  <c r="K27" i="33" s="1"/>
  <c r="E27" i="33"/>
  <c r="J27" i="33" s="1"/>
  <c r="I27" i="33"/>
  <c r="K26" i="33"/>
  <c r="J26" i="33"/>
  <c r="I26" i="33"/>
  <c r="H26" i="33"/>
  <c r="I25" i="33"/>
  <c r="I24" i="33"/>
  <c r="H23" i="33"/>
  <c r="F23" i="33"/>
  <c r="E23" i="33" s="1"/>
  <c r="K22" i="33"/>
  <c r="J22" i="33"/>
  <c r="I22" i="33"/>
  <c r="H22" i="33"/>
  <c r="J21" i="33"/>
  <c r="I21" i="33"/>
  <c r="E18" i="33"/>
  <c r="D18" i="33"/>
  <c r="C18" i="33"/>
  <c r="K17" i="33"/>
  <c r="J17" i="33"/>
  <c r="I17" i="33"/>
  <c r="H17" i="33"/>
  <c r="J16" i="33"/>
  <c r="I16" i="33"/>
  <c r="H16" i="33"/>
  <c r="F16" i="33"/>
  <c r="K16" i="33" s="1"/>
  <c r="J15" i="33"/>
  <c r="I15" i="33"/>
  <c r="H15" i="33"/>
  <c r="F15" i="33"/>
  <c r="K15" i="33" s="1"/>
  <c r="J14" i="33"/>
  <c r="I14" i="33"/>
  <c r="H14" i="33"/>
  <c r="F14" i="33"/>
  <c r="F18" i="33" s="1"/>
  <c r="K13" i="33"/>
  <c r="J13" i="33"/>
  <c r="I13" i="33"/>
  <c r="H13" i="33"/>
  <c r="J11" i="33"/>
  <c r="I11" i="33"/>
  <c r="H11" i="33"/>
  <c r="F11" i="33"/>
  <c r="K11" i="33" s="1"/>
  <c r="C8" i="33"/>
  <c r="I7" i="33"/>
  <c r="H7" i="33"/>
  <c r="F7" i="33"/>
  <c r="E7" i="33" s="1"/>
  <c r="J7" i="33" s="1"/>
  <c r="J6" i="33"/>
  <c r="I6" i="33"/>
  <c r="H6" i="33"/>
  <c r="F6" i="33"/>
  <c r="K6" i="33" s="1"/>
  <c r="K5" i="33"/>
  <c r="H5" i="33"/>
  <c r="E5" i="33"/>
  <c r="J5" i="33" s="1"/>
  <c r="D5" i="33"/>
  <c r="I5" i="33" s="1"/>
  <c r="H4" i="33"/>
  <c r="F4" i="33"/>
  <c r="E4" i="33" s="1"/>
  <c r="H3" i="33"/>
  <c r="F3" i="33"/>
  <c r="I2" i="33"/>
  <c r="H2" i="33"/>
  <c r="F2" i="33"/>
  <c r="K2" i="33" s="1"/>
  <c r="K1" i="33"/>
  <c r="J1" i="33"/>
  <c r="I1" i="33"/>
  <c r="I18" i="33" l="1"/>
  <c r="E2" i="33"/>
  <c r="J2" i="33" s="1"/>
  <c r="K23" i="33"/>
  <c r="J18" i="33"/>
  <c r="E19" i="33"/>
  <c r="J19" i="33" s="1"/>
  <c r="K24" i="33"/>
  <c r="J24" i="33"/>
  <c r="H24" i="33"/>
  <c r="H28" i="33" s="1"/>
  <c r="F21" i="33"/>
  <c r="K21" i="33" s="1"/>
  <c r="C28" i="33"/>
  <c r="C31" i="33" s="1"/>
  <c r="F25" i="33"/>
  <c r="E25" i="33" s="1"/>
  <c r="J25" i="33" s="1"/>
  <c r="H18" i="33"/>
  <c r="D19" i="33"/>
  <c r="I19" i="33" s="1"/>
  <c r="F19" i="33"/>
  <c r="K19" i="33" s="1"/>
  <c r="K7" i="33"/>
  <c r="K8" i="33" s="1"/>
  <c r="D4" i="33"/>
  <c r="I4" i="33" s="1"/>
  <c r="J4" i="33"/>
  <c r="K4" i="33"/>
  <c r="F8" i="33"/>
  <c r="F9" i="33" s="1"/>
  <c r="K9" i="33" s="1"/>
  <c r="H8" i="33"/>
  <c r="K3" i="33"/>
  <c r="J23" i="33"/>
  <c r="D23" i="33"/>
  <c r="E3" i="33"/>
  <c r="K14" i="33"/>
  <c r="K18" i="33" s="1"/>
  <c r="C35" i="32"/>
  <c r="D27" i="32"/>
  <c r="C27" i="32"/>
  <c r="K28" i="32" s="1"/>
  <c r="F26" i="32"/>
  <c r="M26" i="32" s="1"/>
  <c r="E24" i="32"/>
  <c r="L24" i="32" s="1"/>
  <c r="F23" i="32"/>
  <c r="M23" i="32" s="1"/>
  <c r="E22" i="32"/>
  <c r="D18" i="32"/>
  <c r="E17" i="32"/>
  <c r="E18" i="32" s="1"/>
  <c r="C17" i="32"/>
  <c r="F16" i="32"/>
  <c r="M16" i="32" s="1"/>
  <c r="F15" i="32"/>
  <c r="M15" i="32" s="1"/>
  <c r="M17" i="32" s="1"/>
  <c r="M18" i="32" s="1"/>
  <c r="F11" i="32"/>
  <c r="D8" i="32"/>
  <c r="D30" i="32" s="1"/>
  <c r="C8" i="32"/>
  <c r="K9" i="32" s="1"/>
  <c r="F6" i="32"/>
  <c r="M6" i="32" s="1"/>
  <c r="E5" i="32"/>
  <c r="L5" i="32" s="1"/>
  <c r="F4" i="32"/>
  <c r="M4" i="32" s="1"/>
  <c r="M8" i="32" s="1"/>
  <c r="E4" i="32"/>
  <c r="L4" i="32" s="1"/>
  <c r="L8" i="32" s="1"/>
  <c r="C4" i="32"/>
  <c r="J4" i="32" s="1"/>
  <c r="J8" i="32" s="1"/>
  <c r="J30" i="32" s="1"/>
  <c r="F2" i="32"/>
  <c r="E2" i="32"/>
  <c r="M9" i="32" l="1"/>
  <c r="D28" i="32"/>
  <c r="E8" i="32"/>
  <c r="F8" i="32"/>
  <c r="D9" i="32"/>
  <c r="K18" i="32"/>
  <c r="L18" i="32"/>
  <c r="F24" i="32"/>
  <c r="M24" i="32" s="1"/>
  <c r="C30" i="32"/>
  <c r="K31" i="32" s="1"/>
  <c r="L9" i="32"/>
  <c r="F17" i="32"/>
  <c r="F18" i="32" s="1"/>
  <c r="F22" i="32"/>
  <c r="L22" i="32"/>
  <c r="L27" i="32" s="1"/>
  <c r="L28" i="32" s="1"/>
  <c r="J28" i="33"/>
  <c r="K25" i="33"/>
  <c r="K28" i="33" s="1"/>
  <c r="K31" i="33" s="1"/>
  <c r="F28" i="33"/>
  <c r="F29" i="33" s="1"/>
  <c r="K29" i="33" s="1"/>
  <c r="E28" i="33"/>
  <c r="E29" i="33" s="1"/>
  <c r="J29" i="33" s="1"/>
  <c r="H31" i="33"/>
  <c r="J3" i="33"/>
  <c r="J8" i="33" s="1"/>
  <c r="J31" i="33" s="1"/>
  <c r="D3" i="33"/>
  <c r="I23" i="33"/>
  <c r="I28" i="33" s="1"/>
  <c r="D28" i="33"/>
  <c r="D29" i="33" s="1"/>
  <c r="I29" i="33" s="1"/>
  <c r="E8" i="33"/>
  <c r="E9" i="32"/>
  <c r="F9" i="32"/>
  <c r="E27" i="32"/>
  <c r="E28" i="32" s="1"/>
  <c r="F27" i="32" l="1"/>
  <c r="M22" i="32"/>
  <c r="M27" i="32" s="1"/>
  <c r="L30" i="32"/>
  <c r="L31" i="32" s="1"/>
  <c r="D31" i="32"/>
  <c r="F31" i="33"/>
  <c r="F32" i="33" s="1"/>
  <c r="K32" i="33" s="1"/>
  <c r="E9" i="33"/>
  <c r="J9" i="33" s="1"/>
  <c r="E31" i="33"/>
  <c r="E32" i="33" s="1"/>
  <c r="J32" i="33" s="1"/>
  <c r="I3" i="33"/>
  <c r="I8" i="33" s="1"/>
  <c r="I31" i="33" s="1"/>
  <c r="D8" i="33"/>
  <c r="E30" i="32"/>
  <c r="E31" i="32" s="1"/>
  <c r="F28" i="32" l="1"/>
  <c r="F30" i="32"/>
  <c r="F31" i="32" s="1"/>
  <c r="M28" i="32"/>
  <c r="M30" i="32"/>
  <c r="M31" i="32" s="1"/>
  <c r="D31" i="33"/>
  <c r="D32" i="33" s="1"/>
  <c r="I32" i="33" s="1"/>
  <c r="D9" i="33"/>
  <c r="I9" i="33" s="1"/>
  <c r="N35" i="31"/>
  <c r="C35" i="31"/>
  <c r="H35" i="31" s="1"/>
  <c r="N34" i="31"/>
  <c r="H34" i="31"/>
  <c r="N33" i="31"/>
  <c r="H33" i="31"/>
  <c r="D27" i="31"/>
  <c r="I27" i="31" s="1"/>
  <c r="I26" i="31"/>
  <c r="E26" i="31"/>
  <c r="J26" i="31" s="1"/>
  <c r="C26" i="31"/>
  <c r="F26" i="31" s="1"/>
  <c r="K26" i="31" s="1"/>
  <c r="Q25" i="31"/>
  <c r="P25" i="31"/>
  <c r="K25" i="31"/>
  <c r="J25" i="31"/>
  <c r="I25" i="31"/>
  <c r="C25" i="31"/>
  <c r="J24" i="31"/>
  <c r="I24" i="31"/>
  <c r="H24" i="31"/>
  <c r="E24" i="31"/>
  <c r="F24" i="31" s="1"/>
  <c r="K24" i="31" s="1"/>
  <c r="J23" i="31"/>
  <c r="I23" i="31"/>
  <c r="C23" i="31"/>
  <c r="F23" i="31" s="1"/>
  <c r="K23" i="31" s="1"/>
  <c r="I22" i="31"/>
  <c r="H22" i="31"/>
  <c r="E22" i="31"/>
  <c r="F22" i="31" s="1"/>
  <c r="Q21" i="31"/>
  <c r="Q27" i="31" s="1"/>
  <c r="K21" i="31"/>
  <c r="J21" i="31"/>
  <c r="I21" i="31"/>
  <c r="H21" i="31"/>
  <c r="J20" i="31"/>
  <c r="I20" i="31"/>
  <c r="H20" i="31"/>
  <c r="F20" i="31"/>
  <c r="K20" i="31" s="1"/>
  <c r="P17" i="31"/>
  <c r="P26" i="31" s="1"/>
  <c r="I17" i="31"/>
  <c r="E17" i="31"/>
  <c r="J17" i="31" s="1"/>
  <c r="J16" i="31"/>
  <c r="I16" i="31"/>
  <c r="C16" i="31"/>
  <c r="F16" i="31" s="1"/>
  <c r="K16" i="31" s="1"/>
  <c r="Q15" i="31"/>
  <c r="J15" i="31"/>
  <c r="I15" i="31"/>
  <c r="C15" i="31"/>
  <c r="H15" i="31" s="1"/>
  <c r="Q14" i="31"/>
  <c r="J14" i="31"/>
  <c r="I14" i="31"/>
  <c r="C14" i="31"/>
  <c r="F14" i="31" s="1"/>
  <c r="Q13" i="31"/>
  <c r="K13" i="31"/>
  <c r="J13" i="31"/>
  <c r="I13" i="31"/>
  <c r="C13" i="31"/>
  <c r="Q11" i="31"/>
  <c r="J11" i="31"/>
  <c r="I11" i="31"/>
  <c r="H11" i="31"/>
  <c r="F11" i="31"/>
  <c r="K11" i="31" s="1"/>
  <c r="P11" i="31" s="1"/>
  <c r="I8" i="31"/>
  <c r="D8" i="31"/>
  <c r="Q7" i="31"/>
  <c r="K7" i="31"/>
  <c r="J7" i="31"/>
  <c r="I7" i="31"/>
  <c r="H7" i="31"/>
  <c r="Q6" i="31"/>
  <c r="J6" i="31"/>
  <c r="I6" i="31"/>
  <c r="H6" i="31"/>
  <c r="F6" i="31"/>
  <c r="K6" i="31" s="1"/>
  <c r="P6" i="31" s="1"/>
  <c r="Q5" i="31"/>
  <c r="K5" i="31"/>
  <c r="I5" i="31"/>
  <c r="E5" i="31"/>
  <c r="J5" i="31" s="1"/>
  <c r="C5" i="31"/>
  <c r="H5" i="31" s="1"/>
  <c r="Q4" i="31"/>
  <c r="I4" i="31"/>
  <c r="C4" i="31"/>
  <c r="C8" i="31" s="1"/>
  <c r="Q3" i="31"/>
  <c r="K3" i="31"/>
  <c r="J3" i="31"/>
  <c r="I3" i="31"/>
  <c r="H3" i="31"/>
  <c r="Q2" i="31"/>
  <c r="I2" i="31"/>
  <c r="H2" i="31"/>
  <c r="F2" i="31"/>
  <c r="K2" i="31" s="1"/>
  <c r="P2" i="31" s="1"/>
  <c r="E2" i="31"/>
  <c r="J2" i="31" s="1"/>
  <c r="K1" i="31"/>
  <c r="J1" i="31"/>
  <c r="I1" i="31"/>
  <c r="F15" i="31" l="1"/>
  <c r="K15" i="31" s="1"/>
  <c r="C27" i="31"/>
  <c r="H27" i="31" s="1"/>
  <c r="Q8" i="31"/>
  <c r="H23" i="31"/>
  <c r="Q28" i="31"/>
  <c r="P27" i="31"/>
  <c r="C17" i="31"/>
  <c r="H17" i="31" s="1"/>
  <c r="Q17" i="31"/>
  <c r="Q18" i="31" s="1"/>
  <c r="D9" i="31"/>
  <c r="I9" i="31" s="1"/>
  <c r="H8" i="31"/>
  <c r="C30" i="31"/>
  <c r="H30" i="31" s="1"/>
  <c r="F17" i="31"/>
  <c r="K14" i="31"/>
  <c r="P8" i="31"/>
  <c r="P30" i="31" s="1"/>
  <c r="K22" i="31"/>
  <c r="F27" i="31"/>
  <c r="D18" i="31"/>
  <c r="I18" i="31" s="1"/>
  <c r="E27" i="31"/>
  <c r="D30" i="31"/>
  <c r="H14" i="31"/>
  <c r="J22" i="31"/>
  <c r="H26" i="31"/>
  <c r="H13" i="31"/>
  <c r="E18" i="31"/>
  <c r="J18" i="31" s="1"/>
  <c r="H16" i="31"/>
  <c r="F4" i="31"/>
  <c r="H25" i="31"/>
  <c r="D28" i="31"/>
  <c r="I28" i="31" s="1"/>
  <c r="H4" i="31"/>
  <c r="Q30" i="31" l="1"/>
  <c r="E4" i="31"/>
  <c r="F8" i="31"/>
  <c r="K4" i="31"/>
  <c r="F18" i="31"/>
  <c r="K18" i="31" s="1"/>
  <c r="K17" i="31"/>
  <c r="I30" i="31"/>
  <c r="D31" i="31"/>
  <c r="I31" i="31" s="1"/>
  <c r="J27" i="31"/>
  <c r="E28" i="31"/>
  <c r="J28" i="31" s="1"/>
  <c r="Q31" i="31"/>
  <c r="K27" i="31"/>
  <c r="F28" i="31"/>
  <c r="K28" i="31" s="1"/>
  <c r="Q9" i="31"/>
  <c r="K8" i="31" l="1"/>
  <c r="F30" i="31"/>
  <c r="F9" i="31"/>
  <c r="K9" i="31" s="1"/>
  <c r="J4" i="31"/>
  <c r="E8" i="31"/>
  <c r="J8" i="31" l="1"/>
  <c r="E9" i="31"/>
  <c r="J9" i="31" s="1"/>
  <c r="E30" i="31"/>
  <c r="K30" i="31"/>
  <c r="F31" i="31"/>
  <c r="K31" i="31" s="1"/>
  <c r="J30" i="31" l="1"/>
  <c r="E31" i="31"/>
  <c r="J31" i="31" s="1"/>
  <c r="C8" i="30" l="1"/>
  <c r="F18" i="30"/>
  <c r="C18" i="30"/>
  <c r="C31" i="30" s="1"/>
  <c r="F19" i="30"/>
  <c r="K19" i="30" s="1"/>
  <c r="E14" i="30"/>
  <c r="E18" i="30"/>
  <c r="E19" i="30"/>
  <c r="J19" i="30" s="1"/>
  <c r="D18" i="30"/>
  <c r="D19" i="30"/>
  <c r="I19" i="30"/>
  <c r="E24" i="30"/>
  <c r="E28" i="30"/>
  <c r="C28" i="30"/>
  <c r="E29" i="30"/>
  <c r="J29" i="30" s="1"/>
  <c r="F28" i="30"/>
  <c r="F29" i="30"/>
  <c r="K29" i="30"/>
  <c r="D27" i="30"/>
  <c r="D28" i="30"/>
  <c r="D29" i="30"/>
  <c r="I29" i="30"/>
  <c r="H17" i="29"/>
  <c r="I17" i="29"/>
  <c r="J17" i="29"/>
  <c r="K17" i="29"/>
  <c r="H17" i="30"/>
  <c r="I17" i="30"/>
  <c r="J17" i="30"/>
  <c r="K17" i="30"/>
  <c r="I1" i="30"/>
  <c r="K1" i="30"/>
  <c r="H36" i="30"/>
  <c r="H35" i="30"/>
  <c r="H34" i="30"/>
  <c r="I27" i="30"/>
  <c r="J27" i="30"/>
  <c r="K27" i="30"/>
  <c r="H27" i="30"/>
  <c r="I26" i="30"/>
  <c r="J26" i="30"/>
  <c r="K26" i="30"/>
  <c r="H26" i="30"/>
  <c r="I25" i="30"/>
  <c r="J25" i="30"/>
  <c r="K25" i="30"/>
  <c r="H25" i="30"/>
  <c r="I24" i="30"/>
  <c r="J24" i="30"/>
  <c r="K24" i="30"/>
  <c r="H24" i="30"/>
  <c r="I23" i="30"/>
  <c r="J23" i="30"/>
  <c r="K23" i="30"/>
  <c r="H23" i="30"/>
  <c r="H21" i="30"/>
  <c r="H22" i="30"/>
  <c r="H28" i="30"/>
  <c r="I22" i="30"/>
  <c r="J22" i="30"/>
  <c r="K22" i="30"/>
  <c r="K28" i="30" s="1"/>
  <c r="I21" i="30"/>
  <c r="I28" i="30" s="1"/>
  <c r="J21" i="30"/>
  <c r="K21" i="30"/>
  <c r="I16" i="30"/>
  <c r="J16" i="30"/>
  <c r="K16" i="30"/>
  <c r="H16" i="30"/>
  <c r="I15" i="30"/>
  <c r="I13" i="30"/>
  <c r="I18" i="30" s="1"/>
  <c r="I31" i="30" s="1"/>
  <c r="I14" i="30"/>
  <c r="J15" i="30"/>
  <c r="K15" i="30"/>
  <c r="K18" i="30" s="1"/>
  <c r="H15" i="30"/>
  <c r="J14" i="30"/>
  <c r="J13" i="30"/>
  <c r="J18" i="30"/>
  <c r="K14" i="30"/>
  <c r="K13" i="30"/>
  <c r="H14" i="30"/>
  <c r="H18" i="30" s="1"/>
  <c r="H13" i="30"/>
  <c r="I11" i="30"/>
  <c r="J11" i="30"/>
  <c r="K11" i="30"/>
  <c r="H11" i="30"/>
  <c r="I7" i="30"/>
  <c r="J7" i="30"/>
  <c r="K7" i="30"/>
  <c r="H7" i="30"/>
  <c r="I6" i="30"/>
  <c r="J6" i="30"/>
  <c r="K6" i="30"/>
  <c r="H6" i="30"/>
  <c r="I5" i="30"/>
  <c r="J5" i="30"/>
  <c r="K5" i="30"/>
  <c r="H5" i="30"/>
  <c r="I4" i="30"/>
  <c r="J4" i="30"/>
  <c r="J8" i="30" s="1"/>
  <c r="J31" i="30" s="1"/>
  <c r="J2" i="30"/>
  <c r="J3" i="30"/>
  <c r="K4" i="30"/>
  <c r="K8" i="30" s="1"/>
  <c r="K2" i="30"/>
  <c r="K3" i="30"/>
  <c r="H4" i="30"/>
  <c r="I3" i="30"/>
  <c r="H3" i="30"/>
  <c r="I2" i="30"/>
  <c r="I8" i="30"/>
  <c r="H2" i="30"/>
  <c r="C36" i="30"/>
  <c r="D8" i="30"/>
  <c r="D31" i="30" s="1"/>
  <c r="D32" i="30" s="1"/>
  <c r="I32" i="30" s="1"/>
  <c r="E8" i="30"/>
  <c r="E31" i="30" s="1"/>
  <c r="E32" i="30" s="1"/>
  <c r="J32" i="30" s="1"/>
  <c r="F8" i="30"/>
  <c r="J1" i="30"/>
  <c r="C36" i="29"/>
  <c r="C28" i="29"/>
  <c r="C31" i="29" s="1"/>
  <c r="C8" i="29"/>
  <c r="C18" i="29"/>
  <c r="H8" i="30"/>
  <c r="H31" i="30" s="1"/>
  <c r="D9" i="30"/>
  <c r="I9" i="30" s="1"/>
  <c r="F9" i="30"/>
  <c r="K9" i="30"/>
  <c r="J28" i="30"/>
  <c r="F31" i="30"/>
  <c r="F32" i="30" s="1"/>
  <c r="K32" i="30" s="1"/>
  <c r="K5" i="29"/>
  <c r="K13" i="29"/>
  <c r="K18" i="29" s="1"/>
  <c r="K22" i="29"/>
  <c r="K26" i="29"/>
  <c r="H3" i="29"/>
  <c r="H4" i="29"/>
  <c r="H5" i="29"/>
  <c r="H6" i="29"/>
  <c r="I6" i="29"/>
  <c r="J6" i="29"/>
  <c r="H7" i="29"/>
  <c r="I7" i="29"/>
  <c r="H11" i="29"/>
  <c r="I11" i="29"/>
  <c r="J11" i="29"/>
  <c r="H13" i="29"/>
  <c r="I13" i="29"/>
  <c r="J13" i="29"/>
  <c r="J18" i="29" s="1"/>
  <c r="H14" i="29"/>
  <c r="H18" i="29" s="1"/>
  <c r="I14" i="29"/>
  <c r="H15" i="29"/>
  <c r="I15" i="29"/>
  <c r="I18" i="29" s="1"/>
  <c r="J15" i="29"/>
  <c r="H16" i="29"/>
  <c r="H21" i="29"/>
  <c r="I21" i="29"/>
  <c r="J21" i="29"/>
  <c r="H22" i="29"/>
  <c r="I22" i="29"/>
  <c r="J22" i="29"/>
  <c r="H23" i="29"/>
  <c r="H28" i="29" s="1"/>
  <c r="H24" i="29"/>
  <c r="I24" i="29"/>
  <c r="H25" i="29"/>
  <c r="I25" i="29"/>
  <c r="H26" i="29"/>
  <c r="I26" i="29"/>
  <c r="J26" i="29"/>
  <c r="H27" i="29"/>
  <c r="H34" i="29"/>
  <c r="H35" i="29"/>
  <c r="H36" i="29"/>
  <c r="J1" i="29"/>
  <c r="K1" i="29"/>
  <c r="I2" i="29"/>
  <c r="I1" i="29"/>
  <c r="H2" i="29"/>
  <c r="H8" i="29" s="1"/>
  <c r="H31" i="29" s="1"/>
  <c r="D27" i="29"/>
  <c r="I27" i="29" s="1"/>
  <c r="F11" i="29"/>
  <c r="K11" i="29" s="1"/>
  <c r="F7" i="29"/>
  <c r="E5" i="29"/>
  <c r="D5" i="29" s="1"/>
  <c r="I5" i="29" s="1"/>
  <c r="F2" i="29"/>
  <c r="K2" i="29" s="1"/>
  <c r="K8" i="29" s="1"/>
  <c r="F3" i="29"/>
  <c r="F4" i="29"/>
  <c r="F6" i="29"/>
  <c r="K6" i="29"/>
  <c r="F15" i="29"/>
  <c r="K15" i="29" s="1"/>
  <c r="F8" i="29"/>
  <c r="J5" i="29"/>
  <c r="E3" i="29"/>
  <c r="D3" i="29" s="1"/>
  <c r="K3" i="29"/>
  <c r="E4" i="29"/>
  <c r="D4" i="29" s="1"/>
  <c r="I4" i="29" s="1"/>
  <c r="K4" i="29"/>
  <c r="E7" i="29"/>
  <c r="J7" i="29"/>
  <c r="K7" i="29"/>
  <c r="F14" i="29"/>
  <c r="K14" i="29"/>
  <c r="J4" i="29"/>
  <c r="J16" i="29"/>
  <c r="F9" i="29"/>
  <c r="K9" i="29" s="1"/>
  <c r="J14" i="29"/>
  <c r="E18" i="29"/>
  <c r="E19" i="29" s="1"/>
  <c r="J19" i="29" s="1"/>
  <c r="F23" i="29"/>
  <c r="E23" i="29" s="1"/>
  <c r="F24" i="29"/>
  <c r="E24" i="29"/>
  <c r="F25" i="29"/>
  <c r="E25" i="29" s="1"/>
  <c r="J25" i="29" s="1"/>
  <c r="F27" i="29"/>
  <c r="E27" i="29"/>
  <c r="D18" i="29"/>
  <c r="I16" i="29"/>
  <c r="F16" i="29"/>
  <c r="F18" i="29" s="1"/>
  <c r="F19" i="29" s="1"/>
  <c r="K19" i="29" s="1"/>
  <c r="F21" i="29"/>
  <c r="K21" i="29" s="1"/>
  <c r="F28" i="29"/>
  <c r="F29" i="29" s="1"/>
  <c r="K29" i="29" s="1"/>
  <c r="D19" i="29"/>
  <c r="I19" i="29"/>
  <c r="K16" i="29"/>
  <c r="K25" i="29"/>
  <c r="K24" i="29"/>
  <c r="J24" i="29"/>
  <c r="K27" i="29"/>
  <c r="J27" i="29"/>
  <c r="I3" i="29" l="1"/>
  <c r="I8" i="29" s="1"/>
  <c r="D8" i="29"/>
  <c r="F31" i="29"/>
  <c r="F32" i="29" s="1"/>
  <c r="K32" i="29" s="1"/>
  <c r="J23" i="29"/>
  <c r="J28" i="29" s="1"/>
  <c r="E28" i="29"/>
  <c r="E29" i="29" s="1"/>
  <c r="J29" i="29" s="1"/>
  <c r="D23" i="29"/>
  <c r="K31" i="30"/>
  <c r="J3" i="29"/>
  <c r="E2" i="29"/>
  <c r="E9" i="30"/>
  <c r="J9" i="30" s="1"/>
  <c r="K23" i="29"/>
  <c r="K28" i="29" s="1"/>
  <c r="K31" i="29" s="1"/>
  <c r="I23" i="29" l="1"/>
  <c r="I28" i="29" s="1"/>
  <c r="I31" i="29" s="1"/>
  <c r="D28" i="29"/>
  <c r="D29" i="29" s="1"/>
  <c r="I29" i="29" s="1"/>
  <c r="E8" i="29"/>
  <c r="J2" i="29"/>
  <c r="J8" i="29" s="1"/>
  <c r="J31" i="29" s="1"/>
  <c r="D9" i="29"/>
  <c r="I9" i="29" s="1"/>
  <c r="D31" i="29"/>
  <c r="D32" i="29" s="1"/>
  <c r="I32" i="29" s="1"/>
  <c r="E31" i="29" l="1"/>
  <c r="E32" i="29" s="1"/>
  <c r="J32" i="29" s="1"/>
  <c r="E9" i="29"/>
  <c r="J9" i="29" s="1"/>
</calcChain>
</file>

<file path=xl/sharedStrings.xml><?xml version="1.0" encoding="utf-8"?>
<sst xmlns="http://schemas.openxmlformats.org/spreadsheetml/2006/main" count="225" uniqueCount="48">
  <si>
    <t>Totaal</t>
  </si>
  <si>
    <t>Projectkosten</t>
  </si>
  <si>
    <t>Ontwikkelkosten</t>
  </si>
  <si>
    <t>Leges</t>
  </si>
  <si>
    <t>Overnamekosten</t>
  </si>
  <si>
    <t>SDE+</t>
  </si>
  <si>
    <t>Exploitatie</t>
  </si>
  <si>
    <t>Belasting</t>
  </si>
  <si>
    <t>BOP-I</t>
  </si>
  <si>
    <t>Onderhoud</t>
  </si>
  <si>
    <t>Operationeel</t>
  </si>
  <si>
    <t>Communicatie</t>
  </si>
  <si>
    <t>Verzekering</t>
  </si>
  <si>
    <t>Administratie</t>
  </si>
  <si>
    <t>Vergunning</t>
  </si>
  <si>
    <t>Bouw</t>
  </si>
  <si>
    <t>BOP-E</t>
  </si>
  <si>
    <t>Bouwproject</t>
  </si>
  <si>
    <t>Turbines</t>
  </si>
  <si>
    <t>ontwikkelfee</t>
  </si>
  <si>
    <t>BOP-Infra</t>
  </si>
  <si>
    <t>BOP-Electric</t>
  </si>
  <si>
    <t>Betuwewind</t>
  </si>
  <si>
    <t>Potentieel</t>
  </si>
  <si>
    <t>Standaard</t>
  </si>
  <si>
    <t>lokaal</t>
  </si>
  <si>
    <t>(totaal over 15 jr)</t>
  </si>
  <si>
    <t>Rente en aflossing VV</t>
  </si>
  <si>
    <t>VPB</t>
  </si>
  <si>
    <t>Projectwinst (min 50%)</t>
  </si>
  <si>
    <t>Netto rijksoverheid</t>
  </si>
  <si>
    <t>Grondvergoedingen en gebiedsfonds</t>
  </si>
  <si>
    <t>SDE</t>
  </si>
  <si>
    <t>Gemeentebelasing</t>
  </si>
  <si>
    <t>Financiele kosten</t>
  </si>
  <si>
    <t>Gemeente belasting</t>
  </si>
  <si>
    <t>Avri Solar</t>
  </si>
  <si>
    <t>Per HA</t>
  </si>
  <si>
    <t>project</t>
  </si>
  <si>
    <t>Lokaal maximaal</t>
  </si>
  <si>
    <t>eenmalig ontwikkleing</t>
  </si>
  <si>
    <t>eenmalig realistaie</t>
  </si>
  <si>
    <t>Installatie</t>
  </si>
  <si>
    <t>15 jaar exploitatie</t>
  </si>
  <si>
    <t>Lokale ondernemer</t>
  </si>
  <si>
    <t>Bouwadvies</t>
  </si>
  <si>
    <t>Nijmegen-Betuwe</t>
  </si>
  <si>
    <t>per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</si>
</sst>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&quot;€&quot;\ * #,##0_ ;_ &quot;€&quot;\ * \-#,##0_ ;_ &quot;€&quot;\ * &quot;-&quot;??_ ;_ @_ "/>
    <numFmt numFmtId="165" formatCode="_-* #,##0.00_-;_-* #,##0.00\-;_-* &quot;-&quot;??_-;_-@_-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0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0" applyNumberFormat="1"/>
    <xf numFmtId="0" fontId="0" fillId="0" borderId="0" xfId="0" applyAlignment="1">
      <alignment horizontal="left"/>
    </xf>
    <xf numFmtId="9" fontId="10" fillId="0" borderId="0" xfId="2" applyFont="1" applyAlignment="1">
      <alignment horizontal="center"/>
    </xf>
    <xf numFmtId="164" fontId="6" fillId="0" borderId="0" xfId="0" applyNumberFormat="1" applyFont="1"/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1" applyNumberFormat="1" applyFont="1" applyBorder="1"/>
    <xf numFmtId="0" fontId="0" fillId="0" borderId="0" xfId="0" applyBorder="1"/>
    <xf numFmtId="0" fontId="0" fillId="0" borderId="0" xfId="0"/>
    <xf numFmtId="0" fontId="0" fillId="0" borderId="0" xfId="0" applyAlignment="1">
      <alignment horizontal="center"/>
    </xf>
    <xf numFmtId="164" fontId="0" fillId="0" borderId="0" xfId="13" applyNumberFormat="1" applyFont="1"/>
    <xf numFmtId="0" fontId="0" fillId="0" borderId="0" xfId="0" applyAlignment="1">
      <alignment horizontal="left"/>
    </xf>
    <xf numFmtId="9" fontId="10" fillId="0" borderId="0" xfId="2" applyFont="1" applyAlignment="1">
      <alignment horizontal="center"/>
    </xf>
    <xf numFmtId="164" fontId="6" fillId="0" borderId="0" xfId="1" applyNumberFormat="1" applyFont="1"/>
  </cellXfs>
  <cellStyles count="20">
    <cellStyle name="Comma 2" xfId="10" xr:uid="{00000000-0005-0000-0000-000000000000}"/>
    <cellStyle name="Komma 2" xfId="12" xr:uid="{00000000-0005-0000-0000-000003000000}"/>
    <cellStyle name="Komma 2 2" xfId="19" xr:uid="{E4DC5480-B809-4881-8075-A339CA38F4CB}"/>
    <cellStyle name="Komma 3" xfId="14" xr:uid="{F3804AD7-11BD-4C4E-B3DE-D10D39B69317}"/>
    <cellStyle name="Normal 2" xfId="6" xr:uid="{00000000-0005-0000-0000-000004000000}"/>
    <cellStyle name="Percent 2" xfId="9" xr:uid="{00000000-0005-0000-0000-000005000000}"/>
    <cellStyle name="Procent" xfId="2" builtinId="5"/>
    <cellStyle name="Procent 2" xfId="4" xr:uid="{00000000-0005-0000-0000-000007000000}"/>
    <cellStyle name="Procent 2 2" xfId="16" xr:uid="{2800CA3D-8A0C-404F-9922-3DF102DD8CA9}"/>
    <cellStyle name="Procent 3" xfId="8" xr:uid="{00000000-0005-0000-0000-000008000000}"/>
    <cellStyle name="Standaard" xfId="0" builtinId="0"/>
    <cellStyle name="Standaard 2" xfId="3" xr:uid="{00000000-0005-0000-0000-00000A000000}"/>
    <cellStyle name="Standaard 2 2" xfId="15" xr:uid="{8F81C8D5-A7D8-4631-AE24-951AF1110C43}"/>
    <cellStyle name="Standaard 3" xfId="5" xr:uid="{00000000-0005-0000-0000-00000B000000}"/>
    <cellStyle name="Standaard 3 2" xfId="17" xr:uid="{724524F6-19CF-4146-85EC-54F50977489C}"/>
    <cellStyle name="Standaard 4" xfId="7" xr:uid="{00000000-0005-0000-0000-00000C000000}"/>
    <cellStyle name="Standaard 5" xfId="11" xr:uid="{00000000-0005-0000-0000-00000D000000}"/>
    <cellStyle name="Standaard 5 2" xfId="18" xr:uid="{75846795-2FF5-4F10-9E7F-31DBBA1D6A64}"/>
    <cellStyle name="Valuta" xfId="1" builtinId="4"/>
    <cellStyle name="Valuta 2" xfId="13" xr:uid="{E83AE214-EFE8-42E0-BEFF-B5404659AC5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2"/>
  <sheetViews>
    <sheetView tabSelected="1" zoomScale="90" zoomScaleNormal="90" workbookViewId="0">
      <selection activeCell="C25" sqref="C25"/>
    </sheetView>
  </sheetViews>
  <sheetFormatPr defaultColWidth="8.77734375" defaultRowHeight="13.2" x14ac:dyDescent="0.25"/>
  <cols>
    <col min="1" max="1" width="16" bestFit="1" customWidth="1"/>
    <col min="2" max="2" width="33.109375" bestFit="1" customWidth="1"/>
    <col min="3" max="3" width="16.33203125" bestFit="1" customWidth="1"/>
    <col min="4" max="4" width="15.6640625" bestFit="1" customWidth="1"/>
    <col min="5" max="6" width="16.6640625" bestFit="1" customWidth="1"/>
    <col min="8" max="8" width="16.6640625" bestFit="1" customWidth="1"/>
    <col min="9" max="9" width="15.109375" bestFit="1" customWidth="1"/>
    <col min="10" max="11" width="15" bestFit="1" customWidth="1"/>
    <col min="13" max="13" width="15.6640625" bestFit="1" customWidth="1"/>
    <col min="14" max="14" width="18.6640625" bestFit="1" customWidth="1"/>
    <col min="15" max="15" width="16.6640625" bestFit="1" customWidth="1"/>
    <col min="16" max="16" width="16.33203125" bestFit="1" customWidth="1"/>
    <col min="17" max="17" width="15.6640625" bestFit="1" customWidth="1"/>
    <col min="18" max="18" width="15.109375" bestFit="1" customWidth="1"/>
    <col min="20" max="20" width="14" bestFit="1" customWidth="1"/>
    <col min="21" max="21" width="13.44140625" bestFit="1" customWidth="1"/>
    <col min="22" max="23" width="14" bestFit="1" customWidth="1"/>
  </cols>
  <sheetData>
    <row r="1" spans="1:12" x14ac:dyDescent="0.25">
      <c r="D1" s="1" t="s">
        <v>24</v>
      </c>
      <c r="E1" s="1" t="s">
        <v>22</v>
      </c>
      <c r="F1" s="1" t="s">
        <v>23</v>
      </c>
      <c r="I1" s="1" t="str">
        <f>D1</f>
        <v>Standaard</v>
      </c>
      <c r="J1" s="1" t="str">
        <f>E1</f>
        <v>Betuwewind</v>
      </c>
      <c r="K1" s="1" t="str">
        <f>F1</f>
        <v>Potentieel</v>
      </c>
    </row>
    <row r="2" spans="1:12" x14ac:dyDescent="0.25">
      <c r="A2" t="s">
        <v>2</v>
      </c>
      <c r="B2" s="6" t="s">
        <v>13</v>
      </c>
      <c r="C2" s="3">
        <v>49216</v>
      </c>
      <c r="D2" s="3">
        <v>0</v>
      </c>
      <c r="E2" s="3">
        <f>F2</f>
        <v>49216</v>
      </c>
      <c r="F2" s="3">
        <f>C2</f>
        <v>49216</v>
      </c>
      <c r="H2" s="3">
        <f t="shared" ref="H2:K7" si="0">C2/4</f>
        <v>12304</v>
      </c>
      <c r="I2" s="3">
        <f t="shared" si="0"/>
        <v>0</v>
      </c>
      <c r="J2" s="3">
        <f t="shared" si="0"/>
        <v>12304</v>
      </c>
      <c r="K2" s="3">
        <f t="shared" si="0"/>
        <v>12304</v>
      </c>
    </row>
    <row r="3" spans="1:12" x14ac:dyDescent="0.25">
      <c r="B3" s="6" t="s">
        <v>3</v>
      </c>
      <c r="C3" s="3">
        <v>192300</v>
      </c>
      <c r="D3" s="3">
        <f>E3</f>
        <v>192300</v>
      </c>
      <c r="E3" s="3">
        <f>F3</f>
        <v>192300</v>
      </c>
      <c r="F3" s="3">
        <f>C3</f>
        <v>192300</v>
      </c>
      <c r="H3" s="3">
        <f t="shared" si="0"/>
        <v>48075</v>
      </c>
      <c r="I3" s="3">
        <f t="shared" si="0"/>
        <v>48075</v>
      </c>
      <c r="J3" s="3">
        <f t="shared" si="0"/>
        <v>48075</v>
      </c>
      <c r="K3" s="3">
        <f t="shared" si="0"/>
        <v>48075</v>
      </c>
    </row>
    <row r="4" spans="1:12" x14ac:dyDescent="0.25">
      <c r="B4" s="6" t="s">
        <v>11</v>
      </c>
      <c r="C4" s="3">
        <v>88033</v>
      </c>
      <c r="D4" s="3">
        <f>E4</f>
        <v>88033</v>
      </c>
      <c r="E4" s="3">
        <f>F4</f>
        <v>88033</v>
      </c>
      <c r="F4" s="3">
        <f>C4</f>
        <v>88033</v>
      </c>
      <c r="H4" s="3">
        <f t="shared" si="0"/>
        <v>22008.25</v>
      </c>
      <c r="I4" s="3">
        <f t="shared" si="0"/>
        <v>22008.25</v>
      </c>
      <c r="J4" s="3">
        <f t="shared" si="0"/>
        <v>22008.25</v>
      </c>
      <c r="K4" s="3">
        <f t="shared" si="0"/>
        <v>22008.25</v>
      </c>
    </row>
    <row r="5" spans="1:12" x14ac:dyDescent="0.25">
      <c r="B5" s="6" t="s">
        <v>14</v>
      </c>
      <c r="C5" s="3">
        <v>173869</v>
      </c>
      <c r="D5" s="3">
        <f>E5</f>
        <v>0</v>
      </c>
      <c r="E5" s="3">
        <f>F5</f>
        <v>0</v>
      </c>
      <c r="F5" s="3">
        <v>0</v>
      </c>
      <c r="H5" s="3">
        <f t="shared" si="0"/>
        <v>43467.25</v>
      </c>
      <c r="I5" s="3">
        <f t="shared" si="0"/>
        <v>0</v>
      </c>
      <c r="J5" s="3">
        <f t="shared" si="0"/>
        <v>0</v>
      </c>
      <c r="K5" s="3">
        <f t="shared" si="0"/>
        <v>0</v>
      </c>
    </row>
    <row r="6" spans="1:12" x14ac:dyDescent="0.25">
      <c r="B6" s="6" t="s">
        <v>15</v>
      </c>
      <c r="C6" s="3">
        <v>146905</v>
      </c>
      <c r="D6" s="3">
        <v>0</v>
      </c>
      <c r="E6" s="3">
        <v>0</v>
      </c>
      <c r="F6" s="3">
        <f>C6</f>
        <v>146905</v>
      </c>
      <c r="H6" s="3">
        <f t="shared" si="0"/>
        <v>36726.25</v>
      </c>
      <c r="I6" s="3">
        <f t="shared" si="0"/>
        <v>0</v>
      </c>
      <c r="J6" s="3">
        <f t="shared" si="0"/>
        <v>0</v>
      </c>
      <c r="K6" s="3">
        <f t="shared" si="0"/>
        <v>36726.25</v>
      </c>
    </row>
    <row r="7" spans="1:12" x14ac:dyDescent="0.25">
      <c r="B7" s="6" t="s">
        <v>19</v>
      </c>
      <c r="C7" s="3">
        <v>324792.05</v>
      </c>
      <c r="D7" s="3">
        <v>0</v>
      </c>
      <c r="E7" s="3">
        <f>F7</f>
        <v>324792.05</v>
      </c>
      <c r="F7" s="3">
        <f>C7</f>
        <v>324792.05</v>
      </c>
      <c r="H7" s="3">
        <f t="shared" si="0"/>
        <v>81198.012499999997</v>
      </c>
      <c r="I7" s="3">
        <f t="shared" si="0"/>
        <v>0</v>
      </c>
      <c r="J7" s="3">
        <f t="shared" si="0"/>
        <v>81198.012499999997</v>
      </c>
      <c r="K7" s="3">
        <f t="shared" si="0"/>
        <v>81198.012499999997</v>
      </c>
    </row>
    <row r="8" spans="1:12" x14ac:dyDescent="0.25">
      <c r="C8" s="4">
        <f>SUM(C2:C7)</f>
        <v>975115.05</v>
      </c>
      <c r="D8" s="4">
        <f>SUM(D2:D7)</f>
        <v>280333</v>
      </c>
      <c r="E8" s="4">
        <f>SUM(E2:E7)</f>
        <v>654341.05000000005</v>
      </c>
      <c r="F8" s="4">
        <f>SUM(F2:F7)</f>
        <v>801246.05</v>
      </c>
      <c r="G8" s="4"/>
      <c r="H8" s="4">
        <f>SUM(H2:H7)</f>
        <v>243778.76250000001</v>
      </c>
      <c r="I8" s="4">
        <f>SUM(I2:I7)</f>
        <v>70083.25</v>
      </c>
      <c r="J8" s="4">
        <f>SUM(J2:J7)</f>
        <v>163585.26250000001</v>
      </c>
      <c r="K8" s="4">
        <f>SUM(K2:K7)</f>
        <v>200311.51250000001</v>
      </c>
      <c r="L8" s="4"/>
    </row>
    <row r="9" spans="1:12" x14ac:dyDescent="0.25">
      <c r="B9" s="9" t="s">
        <v>25</v>
      </c>
      <c r="D9" s="7">
        <f>D8/$C8</f>
        <v>0.28748710216297041</v>
      </c>
      <c r="E9" s="7">
        <f>E8/$C8</f>
        <v>0.67103984293955876</v>
      </c>
      <c r="F9" s="7">
        <f>F8/$C8</f>
        <v>0.82169386063726535</v>
      </c>
      <c r="I9" s="7">
        <f>D9</f>
        <v>0.28748710216297041</v>
      </c>
      <c r="J9" s="7">
        <f>E9</f>
        <v>0.67103984293955876</v>
      </c>
      <c r="K9" s="7">
        <f>F9</f>
        <v>0.82169386063726535</v>
      </c>
    </row>
    <row r="11" spans="1:12" x14ac:dyDescent="0.25">
      <c r="B11" t="s">
        <v>4</v>
      </c>
      <c r="C11" s="3">
        <v>2174000</v>
      </c>
      <c r="D11" s="3">
        <v>0</v>
      </c>
      <c r="E11" s="3">
        <v>0</v>
      </c>
      <c r="F11" s="3">
        <f>C11</f>
        <v>2174000</v>
      </c>
      <c r="H11" s="3">
        <f>C11/4</f>
        <v>543500</v>
      </c>
      <c r="I11" s="3">
        <f>D11/4</f>
        <v>0</v>
      </c>
      <c r="J11" s="3">
        <f>E11/4</f>
        <v>0</v>
      </c>
      <c r="K11" s="3">
        <f>F11/4</f>
        <v>543500</v>
      </c>
    </row>
    <row r="13" spans="1:12" x14ac:dyDescent="0.25">
      <c r="A13" t="s">
        <v>17</v>
      </c>
      <c r="B13" t="s">
        <v>18</v>
      </c>
      <c r="C13" s="3">
        <v>12501300</v>
      </c>
      <c r="D13" s="3">
        <v>0</v>
      </c>
      <c r="E13" s="3">
        <v>0</v>
      </c>
      <c r="F13" s="3">
        <v>0</v>
      </c>
      <c r="H13" s="3">
        <f t="shared" ref="H13:K16" si="1">C13/4</f>
        <v>3125325</v>
      </c>
      <c r="I13" s="3">
        <f t="shared" si="1"/>
        <v>0</v>
      </c>
      <c r="J13" s="3">
        <f t="shared" si="1"/>
        <v>0</v>
      </c>
      <c r="K13" s="3">
        <f t="shared" si="1"/>
        <v>0</v>
      </c>
    </row>
    <row r="14" spans="1:12" x14ac:dyDescent="0.25">
      <c r="B14" t="s">
        <v>20</v>
      </c>
      <c r="C14" s="3">
        <v>2664700</v>
      </c>
      <c r="D14" s="15">
        <v>0</v>
      </c>
      <c r="E14" s="15">
        <v>1336800</v>
      </c>
      <c r="F14" s="3">
        <f>80%*C14</f>
        <v>2131760</v>
      </c>
      <c r="H14" s="3">
        <f t="shared" si="1"/>
        <v>666175</v>
      </c>
      <c r="I14" s="3">
        <f t="shared" si="1"/>
        <v>0</v>
      </c>
      <c r="J14" s="3">
        <f t="shared" si="1"/>
        <v>334200</v>
      </c>
      <c r="K14" s="3">
        <f t="shared" si="1"/>
        <v>532940</v>
      </c>
    </row>
    <row r="15" spans="1:12" x14ac:dyDescent="0.25">
      <c r="B15" t="s">
        <v>21</v>
      </c>
      <c r="C15" s="3">
        <v>3333100</v>
      </c>
      <c r="D15" s="15">
        <v>0</v>
      </c>
      <c r="E15" s="15">
        <v>0</v>
      </c>
      <c r="F15" s="3">
        <f>50%*C15</f>
        <v>1666550</v>
      </c>
      <c r="H15" s="3">
        <f t="shared" si="1"/>
        <v>833275</v>
      </c>
      <c r="I15" s="3">
        <f t="shared" si="1"/>
        <v>0</v>
      </c>
      <c r="J15" s="3">
        <f t="shared" si="1"/>
        <v>0</v>
      </c>
      <c r="K15" s="3">
        <f t="shared" si="1"/>
        <v>416637.5</v>
      </c>
    </row>
    <row r="16" spans="1:12" x14ac:dyDescent="0.25">
      <c r="B16" t="s">
        <v>1</v>
      </c>
      <c r="C16" s="3">
        <v>1069900</v>
      </c>
      <c r="D16" s="15">
        <v>0</v>
      </c>
      <c r="E16" s="15">
        <v>104900</v>
      </c>
      <c r="F16" s="3">
        <f>50%*C16</f>
        <v>534950</v>
      </c>
      <c r="H16" s="3">
        <f t="shared" si="1"/>
        <v>267475</v>
      </c>
      <c r="I16" s="3">
        <f t="shared" si="1"/>
        <v>0</v>
      </c>
      <c r="J16" s="3">
        <f t="shared" si="1"/>
        <v>26225</v>
      </c>
      <c r="K16" s="3">
        <f t="shared" si="1"/>
        <v>133737.5</v>
      </c>
    </row>
    <row r="17" spans="1:12" x14ac:dyDescent="0.25">
      <c r="B17" t="s">
        <v>34</v>
      </c>
      <c r="C17" s="3">
        <v>1628800</v>
      </c>
      <c r="D17" s="15">
        <v>0</v>
      </c>
      <c r="E17" s="15">
        <v>50000</v>
      </c>
      <c r="F17" s="3">
        <v>200000</v>
      </c>
      <c r="G17" s="13"/>
      <c r="H17" s="3">
        <f t="shared" ref="H17" si="2">C17/4</f>
        <v>407200</v>
      </c>
      <c r="I17" s="3">
        <f t="shared" ref="I17" si="3">D17/4</f>
        <v>0</v>
      </c>
      <c r="J17" s="3">
        <f t="shared" ref="J17" si="4">E17/4</f>
        <v>12500</v>
      </c>
      <c r="K17" s="3">
        <f t="shared" ref="K17" si="5">F17/4</f>
        <v>50000</v>
      </c>
    </row>
    <row r="18" spans="1:12" x14ac:dyDescent="0.25">
      <c r="C18" s="4">
        <f>SUM(C13:C17)</f>
        <v>21197800</v>
      </c>
      <c r="D18" s="4">
        <f>SUM(D13:D17)</f>
        <v>0</v>
      </c>
      <c r="E18" s="4">
        <f>SUM(E13:E17)</f>
        <v>1491700</v>
      </c>
      <c r="F18" s="4">
        <f>SUM(F13:F17)</f>
        <v>4533260</v>
      </c>
      <c r="G18" s="4"/>
      <c r="H18" s="4">
        <f>SUM(H13:H17)</f>
        <v>5299450</v>
      </c>
      <c r="I18" s="4">
        <f>SUM(I13:I17)</f>
        <v>0</v>
      </c>
      <c r="J18" s="4">
        <f>SUM(J13:J17)</f>
        <v>372925</v>
      </c>
      <c r="K18" s="4">
        <f>SUM(K13:K17)</f>
        <v>1133315</v>
      </c>
    </row>
    <row r="19" spans="1:12" x14ac:dyDescent="0.25">
      <c r="B19" s="9" t="s">
        <v>25</v>
      </c>
      <c r="D19" s="7">
        <f>D18/$C18</f>
        <v>0</v>
      </c>
      <c r="E19" s="7">
        <f>E18/$C18</f>
        <v>7.0370510147279436E-2</v>
      </c>
      <c r="F19" s="7">
        <f>F18/$C18</f>
        <v>0.21385521138986122</v>
      </c>
      <c r="I19" s="7">
        <f>D19</f>
        <v>0</v>
      </c>
      <c r="J19" s="7">
        <f>E19</f>
        <v>7.0370510147279436E-2</v>
      </c>
      <c r="K19" s="7">
        <f>F19</f>
        <v>0.21385521138986122</v>
      </c>
    </row>
    <row r="20" spans="1:12" x14ac:dyDescent="0.25">
      <c r="A20" t="s">
        <v>6</v>
      </c>
    </row>
    <row r="21" spans="1:12" x14ac:dyDescent="0.25">
      <c r="A21" t="s">
        <v>26</v>
      </c>
      <c r="B21" t="s">
        <v>9</v>
      </c>
      <c r="C21" s="3">
        <v>2900000</v>
      </c>
      <c r="D21" s="3">
        <v>0</v>
      </c>
      <c r="E21" s="3">
        <v>0</v>
      </c>
      <c r="F21" s="3">
        <f>25%*C21</f>
        <v>725000</v>
      </c>
      <c r="H21" s="3">
        <f t="shared" ref="H21:K27" si="6">C21/4</f>
        <v>725000</v>
      </c>
      <c r="I21" s="3">
        <f t="shared" si="6"/>
        <v>0</v>
      </c>
      <c r="J21" s="3">
        <f t="shared" si="6"/>
        <v>0</v>
      </c>
      <c r="K21" s="3">
        <f t="shared" si="6"/>
        <v>181250</v>
      </c>
    </row>
    <row r="22" spans="1:12" x14ac:dyDescent="0.25">
      <c r="B22" t="s">
        <v>12</v>
      </c>
      <c r="C22" s="3">
        <v>662000</v>
      </c>
      <c r="D22" s="3">
        <v>0</v>
      </c>
      <c r="E22" s="3">
        <v>0</v>
      </c>
      <c r="F22" s="3">
        <v>0</v>
      </c>
      <c r="H22" s="3">
        <f t="shared" si="6"/>
        <v>165500</v>
      </c>
      <c r="I22" s="3">
        <f t="shared" si="6"/>
        <v>0</v>
      </c>
      <c r="J22" s="3">
        <f t="shared" si="6"/>
        <v>0</v>
      </c>
      <c r="K22" s="3">
        <f t="shared" si="6"/>
        <v>0</v>
      </c>
    </row>
    <row r="23" spans="1:12" x14ac:dyDescent="0.25">
      <c r="B23" t="s">
        <v>33</v>
      </c>
      <c r="C23" s="3">
        <v>338000</v>
      </c>
      <c r="D23" s="3">
        <f>E23</f>
        <v>338000</v>
      </c>
      <c r="E23" s="3">
        <f>F23</f>
        <v>338000</v>
      </c>
      <c r="F23" s="3">
        <f>C23</f>
        <v>338000</v>
      </c>
      <c r="H23" s="3">
        <f t="shared" si="6"/>
        <v>84500</v>
      </c>
      <c r="I23" s="3">
        <f t="shared" si="6"/>
        <v>84500</v>
      </c>
      <c r="J23" s="3">
        <f t="shared" si="6"/>
        <v>84500</v>
      </c>
      <c r="K23" s="3">
        <f t="shared" si="6"/>
        <v>84500</v>
      </c>
    </row>
    <row r="24" spans="1:12" x14ac:dyDescent="0.25">
      <c r="B24" t="s">
        <v>10</v>
      </c>
      <c r="C24" s="3">
        <v>1986999.9999999998</v>
      </c>
      <c r="D24" s="3">
        <v>0</v>
      </c>
      <c r="E24" s="3">
        <f>F24*50%</f>
        <v>993499.99999999988</v>
      </c>
      <c r="F24" s="3">
        <f>C24</f>
        <v>1986999.9999999998</v>
      </c>
      <c r="H24" s="3">
        <f t="shared" si="6"/>
        <v>496749.99999999994</v>
      </c>
      <c r="I24" s="3">
        <f t="shared" si="6"/>
        <v>0</v>
      </c>
      <c r="J24" s="3">
        <f t="shared" si="6"/>
        <v>248374.99999999997</v>
      </c>
      <c r="K24" s="3">
        <f t="shared" si="6"/>
        <v>496749.99999999994</v>
      </c>
    </row>
    <row r="25" spans="1:12" x14ac:dyDescent="0.25">
      <c r="B25" t="s">
        <v>31</v>
      </c>
      <c r="C25" s="3">
        <v>4363500</v>
      </c>
      <c r="D25" s="3">
        <v>0</v>
      </c>
      <c r="E25" s="3">
        <f>F25</f>
        <v>4363500</v>
      </c>
      <c r="F25" s="3">
        <f>C25</f>
        <v>4363500</v>
      </c>
      <c r="H25" s="3">
        <f t="shared" si="6"/>
        <v>1090875</v>
      </c>
      <c r="I25" s="3">
        <f t="shared" si="6"/>
        <v>0</v>
      </c>
      <c r="J25" s="3">
        <f t="shared" si="6"/>
        <v>1090875</v>
      </c>
      <c r="K25" s="3">
        <f t="shared" si="6"/>
        <v>1090875</v>
      </c>
    </row>
    <row r="26" spans="1:12" x14ac:dyDescent="0.25">
      <c r="B26" t="s">
        <v>27</v>
      </c>
      <c r="C26" s="3">
        <v>28473513.273332611</v>
      </c>
      <c r="D26" s="3">
        <v>0</v>
      </c>
      <c r="E26" s="3">
        <v>0</v>
      </c>
      <c r="F26" s="3">
        <v>0</v>
      </c>
      <c r="H26" s="3">
        <f t="shared" si="6"/>
        <v>7118378.3183331527</v>
      </c>
      <c r="I26" s="3">
        <f t="shared" si="6"/>
        <v>0</v>
      </c>
      <c r="J26" s="3">
        <f t="shared" si="6"/>
        <v>0</v>
      </c>
      <c r="K26" s="3">
        <f t="shared" si="6"/>
        <v>0</v>
      </c>
    </row>
    <row r="27" spans="1:12" x14ac:dyDescent="0.25">
      <c r="B27" t="s">
        <v>29</v>
      </c>
      <c r="C27" s="3">
        <v>20932392.891822979</v>
      </c>
      <c r="D27" s="3">
        <f>50%*C27</f>
        <v>10466196.445911489</v>
      </c>
      <c r="E27" s="3">
        <f>F27</f>
        <v>20932392.891822979</v>
      </c>
      <c r="F27" s="3">
        <f>C27</f>
        <v>20932392.891822979</v>
      </c>
      <c r="H27" s="3">
        <f t="shared" si="6"/>
        <v>5233098.2229557447</v>
      </c>
      <c r="I27" s="3">
        <f t="shared" si="6"/>
        <v>2616549.1114778724</v>
      </c>
      <c r="J27" s="3">
        <f t="shared" si="6"/>
        <v>5233098.2229557447</v>
      </c>
      <c r="K27" s="3">
        <f t="shared" si="6"/>
        <v>5233098.2229557447</v>
      </c>
    </row>
    <row r="28" spans="1:12" x14ac:dyDescent="0.25">
      <c r="C28" s="4">
        <f>SUM(C21:C27)</f>
        <v>59656406.16515559</v>
      </c>
      <c r="D28" s="4">
        <f>SUM(D21:D27)</f>
        <v>10804196.445911489</v>
      </c>
      <c r="E28" s="4">
        <f>SUM(E21:E27)</f>
        <v>26627392.891822979</v>
      </c>
      <c r="F28" s="4">
        <f>SUM(F21:F27)</f>
        <v>28345892.891822979</v>
      </c>
      <c r="G28" s="4"/>
      <c r="H28" s="4">
        <f>SUM(H21:H27)</f>
        <v>14914101.541288897</v>
      </c>
      <c r="I28" s="4">
        <f>SUM(I21:I27)</f>
        <v>2701049.1114778724</v>
      </c>
      <c r="J28" s="4">
        <f>SUM(J21:J27)</f>
        <v>6656848.2229557447</v>
      </c>
      <c r="K28" s="4">
        <f>SUM(K21:K27)</f>
        <v>7086473.2229557447</v>
      </c>
      <c r="L28" s="4"/>
    </row>
    <row r="29" spans="1:12" x14ac:dyDescent="0.25">
      <c r="B29" s="9" t="s">
        <v>25</v>
      </c>
      <c r="D29" s="7">
        <f>D28/$C28</f>
        <v>0.18110706193062728</v>
      </c>
      <c r="E29" s="7">
        <f>E28/$C28</f>
        <v>0.44634590991127521</v>
      </c>
      <c r="F29" s="7">
        <f>F28/$C28</f>
        <v>0.47515253958391124</v>
      </c>
      <c r="I29" s="7">
        <f>D29</f>
        <v>0.18110706193062728</v>
      </c>
      <c r="J29" s="7">
        <f>E29</f>
        <v>0.44634590991127521</v>
      </c>
      <c r="K29" s="7">
        <f>F29</f>
        <v>0.47515253958391124</v>
      </c>
    </row>
    <row r="31" spans="1:12" x14ac:dyDescent="0.25">
      <c r="B31" s="2" t="s">
        <v>0</v>
      </c>
      <c r="C31" s="8">
        <f>C8+C11+C18+C28</f>
        <v>84003321.215155587</v>
      </c>
      <c r="D31" s="8">
        <f t="shared" ref="D31:F31" si="7">D8+D11+D18+D28</f>
        <v>11084529.445911489</v>
      </c>
      <c r="E31" s="8">
        <f t="shared" si="7"/>
        <v>28773433.94182298</v>
      </c>
      <c r="F31" s="8">
        <f t="shared" si="7"/>
        <v>35854398.941822976</v>
      </c>
      <c r="G31" s="8"/>
      <c r="H31" s="8">
        <f>H8+H11+H18+H28</f>
        <v>21000830.303788897</v>
      </c>
      <c r="I31" s="8">
        <f>I8+I11+I18+I28</f>
        <v>2771132.3614778724</v>
      </c>
      <c r="J31" s="8">
        <f>J8+J11+J18+J28</f>
        <v>7193358.4854557449</v>
      </c>
      <c r="K31" s="8">
        <f>K8+K11+K18+K28</f>
        <v>8963599.735455744</v>
      </c>
      <c r="L31" s="8"/>
    </row>
    <row r="32" spans="1:12" x14ac:dyDescent="0.25">
      <c r="B32" s="9" t="s">
        <v>25</v>
      </c>
      <c r="C32" s="3"/>
      <c r="D32" s="7">
        <f>D31/$C31</f>
        <v>0.13195346666735908</v>
      </c>
      <c r="E32" s="7">
        <f>E31/$C31</f>
        <v>0.34252733731951274</v>
      </c>
      <c r="F32" s="7">
        <f>F31/$C31</f>
        <v>0.42682120686621433</v>
      </c>
      <c r="I32" s="7">
        <f>D32</f>
        <v>0.13195346666735908</v>
      </c>
      <c r="J32" s="7">
        <f>E32</f>
        <v>0.34252733731951274</v>
      </c>
      <c r="K32" s="7">
        <f>F32</f>
        <v>0.42682120686621433</v>
      </c>
    </row>
    <row r="33" spans="2:10" x14ac:dyDescent="0.25">
      <c r="H33" s="5"/>
      <c r="I33" s="5"/>
      <c r="J33" s="5"/>
    </row>
    <row r="34" spans="2:10" x14ac:dyDescent="0.25">
      <c r="B34" t="s">
        <v>32</v>
      </c>
      <c r="C34" s="3">
        <v>32611302.000362396</v>
      </c>
      <c r="H34" s="5">
        <f>C34/4</f>
        <v>8152825.5000905991</v>
      </c>
      <c r="I34" s="5"/>
      <c r="J34" s="5"/>
    </row>
    <row r="35" spans="2:10" x14ac:dyDescent="0.25">
      <c r="B35" t="s">
        <v>28</v>
      </c>
      <c r="C35" s="3">
        <v>7141135.4852884617</v>
      </c>
      <c r="H35" s="5">
        <f>C35/4</f>
        <v>1785283.8713221154</v>
      </c>
      <c r="I35" s="5"/>
      <c r="J35" s="5"/>
    </row>
    <row r="36" spans="2:10" x14ac:dyDescent="0.25">
      <c r="B36" t="s">
        <v>30</v>
      </c>
      <c r="C36" s="3">
        <f>C34-C35</f>
        <v>25470166.515073933</v>
      </c>
      <c r="H36" s="5">
        <f>C36/4</f>
        <v>6367541.6287684832</v>
      </c>
      <c r="I36" s="5"/>
      <c r="J36" s="5"/>
    </row>
    <row r="37" spans="2:10" x14ac:dyDescent="0.25">
      <c r="C37" s="3"/>
    </row>
    <row r="38" spans="2:10" x14ac:dyDescent="0.25">
      <c r="C38" s="3"/>
    </row>
    <row r="39" spans="2:10" x14ac:dyDescent="0.25">
      <c r="C39" s="3"/>
    </row>
    <row r="40" spans="2:10" x14ac:dyDescent="0.25">
      <c r="C40" s="3"/>
    </row>
    <row r="41" spans="2:10" x14ac:dyDescent="0.25">
      <c r="C41" s="3"/>
    </row>
    <row r="42" spans="2:10" x14ac:dyDescent="0.25">
      <c r="C42" s="3"/>
    </row>
    <row r="43" spans="2:10" x14ac:dyDescent="0.25">
      <c r="C43" s="3"/>
    </row>
    <row r="44" spans="2:10" x14ac:dyDescent="0.25">
      <c r="C44" s="3"/>
    </row>
    <row r="45" spans="2:10" x14ac:dyDescent="0.25">
      <c r="C45" s="3"/>
    </row>
    <row r="46" spans="2:10" x14ac:dyDescent="0.25">
      <c r="C46" s="3"/>
    </row>
    <row r="47" spans="2:10" x14ac:dyDescent="0.25">
      <c r="C47" s="3"/>
    </row>
    <row r="48" spans="2:10" x14ac:dyDescent="0.25">
      <c r="C48" s="3"/>
    </row>
    <row r="49" spans="3:3" x14ac:dyDescent="0.25">
      <c r="C49" s="3"/>
    </row>
    <row r="50" spans="3:3" x14ac:dyDescent="0.25">
      <c r="C50" s="3"/>
    </row>
    <row r="51" spans="3:3" x14ac:dyDescent="0.25">
      <c r="C51" s="3"/>
    </row>
    <row r="52" spans="3:3" x14ac:dyDescent="0.25">
      <c r="C5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6AA26-53FD-446A-874D-35A77E9C228E}">
  <dimension ref="A1:K36"/>
  <sheetViews>
    <sheetView zoomScale="90" zoomScaleNormal="90" workbookViewId="0">
      <selection activeCell="J27" sqref="J27"/>
    </sheetView>
  </sheetViews>
  <sheetFormatPr defaultColWidth="8.77734375" defaultRowHeight="13.2" x14ac:dyDescent="0.25"/>
  <cols>
    <col min="1" max="1" width="15.6640625" bestFit="1" customWidth="1"/>
    <col min="2" max="2" width="33.44140625" bestFit="1" customWidth="1"/>
    <col min="3" max="3" width="14.44140625" bestFit="1" customWidth="1"/>
    <col min="4" max="4" width="14" bestFit="1" customWidth="1"/>
    <col min="5" max="6" width="14.77734375" bestFit="1" customWidth="1"/>
    <col min="8" max="8" width="14.77734375" bestFit="1" customWidth="1"/>
    <col min="9" max="10" width="14" bestFit="1" customWidth="1"/>
    <col min="11" max="11" width="13.44140625" bestFit="1" customWidth="1"/>
  </cols>
  <sheetData>
    <row r="1" spans="1:11" x14ac:dyDescent="0.25">
      <c r="D1" s="14" t="s">
        <v>24</v>
      </c>
      <c r="E1" s="14" t="s">
        <v>22</v>
      </c>
      <c r="F1" s="14" t="s">
        <v>23</v>
      </c>
      <c r="I1" s="14" t="str">
        <f>D1</f>
        <v>Standaard</v>
      </c>
      <c r="J1" s="1" t="str">
        <f>E1</f>
        <v>Betuwewind</v>
      </c>
      <c r="K1" s="14" t="str">
        <f>F1</f>
        <v>Potentieel</v>
      </c>
    </row>
    <row r="2" spans="1:11" x14ac:dyDescent="0.25">
      <c r="A2" t="s">
        <v>2</v>
      </c>
      <c r="B2" s="16" t="s">
        <v>13</v>
      </c>
      <c r="C2" s="3">
        <v>49421.700000000004</v>
      </c>
      <c r="D2" s="3">
        <v>0</v>
      </c>
      <c r="E2" s="3">
        <v>49216</v>
      </c>
      <c r="F2" s="3">
        <v>49216</v>
      </c>
      <c r="H2" s="3">
        <f t="shared" ref="H2:J7" si="0">C2/3</f>
        <v>16473.900000000001</v>
      </c>
      <c r="I2" s="3">
        <f t="shared" ref="I2:I7" si="1">D2/3</f>
        <v>0</v>
      </c>
      <c r="J2" s="3">
        <f t="shared" si="0"/>
        <v>16405.333333333332</v>
      </c>
      <c r="K2" s="3">
        <f t="shared" ref="K2:K7" si="2">F2/3</f>
        <v>16405.333333333332</v>
      </c>
    </row>
    <row r="3" spans="1:11" x14ac:dyDescent="0.25">
      <c r="B3" s="16" t="s">
        <v>3</v>
      </c>
      <c r="C3" s="3">
        <v>98843.400000000009</v>
      </c>
      <c r="D3" s="3">
        <v>92300</v>
      </c>
      <c r="E3" s="3">
        <v>92300</v>
      </c>
      <c r="F3" s="3">
        <v>92300</v>
      </c>
      <c r="H3" s="3">
        <f t="shared" si="0"/>
        <v>32947.800000000003</v>
      </c>
      <c r="I3" s="3">
        <f t="shared" si="1"/>
        <v>30766.666666666668</v>
      </c>
      <c r="J3" s="3">
        <f t="shared" si="0"/>
        <v>30766.666666666668</v>
      </c>
      <c r="K3" s="3">
        <f t="shared" si="2"/>
        <v>30766.666666666668</v>
      </c>
    </row>
    <row r="4" spans="1:11" x14ac:dyDescent="0.25">
      <c r="B4" s="16" t="s">
        <v>11</v>
      </c>
      <c r="C4" s="3">
        <v>79074.720000000001</v>
      </c>
      <c r="D4" s="3">
        <v>88033</v>
      </c>
      <c r="E4" s="3">
        <v>88033</v>
      </c>
      <c r="F4" s="3">
        <v>88033</v>
      </c>
      <c r="H4" s="3">
        <f t="shared" si="0"/>
        <v>26358.240000000002</v>
      </c>
      <c r="I4" s="3">
        <f t="shared" si="1"/>
        <v>29344.333333333332</v>
      </c>
      <c r="J4" s="3">
        <f t="shared" si="0"/>
        <v>29344.333333333332</v>
      </c>
      <c r="K4" s="3">
        <f t="shared" si="2"/>
        <v>29344.333333333332</v>
      </c>
    </row>
    <row r="5" spans="1:11" x14ac:dyDescent="0.25">
      <c r="B5" s="16" t="s">
        <v>14</v>
      </c>
      <c r="C5" s="3">
        <v>247108.5</v>
      </c>
      <c r="D5" s="3">
        <v>0</v>
      </c>
      <c r="E5" s="3">
        <v>0</v>
      </c>
      <c r="F5" s="3">
        <v>0</v>
      </c>
      <c r="H5" s="3">
        <f t="shared" si="0"/>
        <v>82369.5</v>
      </c>
      <c r="I5" s="3">
        <f t="shared" si="1"/>
        <v>0</v>
      </c>
      <c r="J5" s="3">
        <f t="shared" si="0"/>
        <v>0</v>
      </c>
      <c r="K5" s="3">
        <f t="shared" si="2"/>
        <v>0</v>
      </c>
    </row>
    <row r="6" spans="1:11" x14ac:dyDescent="0.25">
      <c r="B6" s="10" t="s">
        <v>15</v>
      </c>
      <c r="C6" s="3">
        <v>148265.1</v>
      </c>
      <c r="D6" s="3">
        <v>0</v>
      </c>
      <c r="E6" s="3">
        <v>0</v>
      </c>
      <c r="F6" s="3">
        <v>146905</v>
      </c>
      <c r="H6" s="3">
        <f t="shared" si="0"/>
        <v>49421.700000000004</v>
      </c>
      <c r="I6" s="3">
        <f t="shared" si="1"/>
        <v>0</v>
      </c>
      <c r="J6" s="3">
        <f t="shared" si="0"/>
        <v>0</v>
      </c>
      <c r="K6" s="3">
        <f t="shared" si="2"/>
        <v>48968.333333333336</v>
      </c>
    </row>
    <row r="7" spans="1:11" x14ac:dyDescent="0.25">
      <c r="B7" s="10" t="s">
        <v>19</v>
      </c>
      <c r="C7" s="3">
        <v>365720.57999999996</v>
      </c>
      <c r="D7" s="3">
        <v>0</v>
      </c>
      <c r="E7" s="3">
        <v>324792.05</v>
      </c>
      <c r="F7" s="3">
        <v>324792.05</v>
      </c>
      <c r="H7" s="3">
        <f t="shared" si="0"/>
        <v>121906.85999999999</v>
      </c>
      <c r="I7" s="3">
        <f t="shared" si="1"/>
        <v>0</v>
      </c>
      <c r="J7" s="3">
        <f t="shared" si="0"/>
        <v>108264.01666666666</v>
      </c>
      <c r="K7" s="3">
        <f t="shared" si="2"/>
        <v>108264.01666666666</v>
      </c>
    </row>
    <row r="8" spans="1:11" x14ac:dyDescent="0.25">
      <c r="B8" s="11"/>
      <c r="C8" s="4">
        <f>SUM(C2:C7)</f>
        <v>988434</v>
      </c>
      <c r="D8" s="4">
        <f>SUM(D2:D7)</f>
        <v>180333</v>
      </c>
      <c r="E8" s="4">
        <f>SUM(E2:E7)</f>
        <v>554341.05000000005</v>
      </c>
      <c r="F8" s="4">
        <f>SUM(F2:F7)</f>
        <v>701246.05</v>
      </c>
      <c r="H8" s="4">
        <f>SUM(H2:H7)</f>
        <v>329478</v>
      </c>
      <c r="I8" s="4">
        <f>SUM(I2:I7)</f>
        <v>60111</v>
      </c>
      <c r="J8" s="4">
        <f>SUM(J2:J7)</f>
        <v>184780.34999999998</v>
      </c>
      <c r="K8" s="4">
        <f>SUM(K2:K7)</f>
        <v>233748.68333333332</v>
      </c>
    </row>
    <row r="9" spans="1:11" x14ac:dyDescent="0.25">
      <c r="D9" s="7">
        <f>D8/$C8</f>
        <v>0.18244313732631617</v>
      </c>
      <c r="E9" s="17">
        <f t="shared" ref="E9:F9" si="3">E8/$C8</f>
        <v>0.56082758181122871</v>
      </c>
      <c r="F9" s="17">
        <f t="shared" si="3"/>
        <v>0.70945156682186172</v>
      </c>
      <c r="I9" s="17">
        <f>D9</f>
        <v>0.18244313732631617</v>
      </c>
      <c r="J9" s="17">
        <f t="shared" ref="J9" si="4">E9</f>
        <v>0.56082758181122871</v>
      </c>
      <c r="K9" s="17">
        <f t="shared" ref="K9" si="5">F9</f>
        <v>0.70945156682186172</v>
      </c>
    </row>
    <row r="11" spans="1:11" x14ac:dyDescent="0.25">
      <c r="B11" t="s">
        <v>4</v>
      </c>
      <c r="C11" s="3">
        <v>10686000</v>
      </c>
      <c r="D11" s="3">
        <v>0</v>
      </c>
      <c r="E11" s="3">
        <v>0</v>
      </c>
      <c r="F11" s="3">
        <v>10686000</v>
      </c>
      <c r="H11" s="3">
        <f>C11/3</f>
        <v>3562000</v>
      </c>
      <c r="I11" s="3">
        <f>D11/3</f>
        <v>0</v>
      </c>
      <c r="J11" s="3">
        <f>E11/3</f>
        <v>0</v>
      </c>
      <c r="K11" s="3">
        <f>F11/3</f>
        <v>3562000</v>
      </c>
    </row>
    <row r="13" spans="1:11" x14ac:dyDescent="0.25">
      <c r="A13" t="s">
        <v>17</v>
      </c>
      <c r="B13" t="s">
        <v>18</v>
      </c>
      <c r="C13" s="3">
        <v>8645400</v>
      </c>
      <c r="D13" s="3">
        <v>0</v>
      </c>
      <c r="E13" s="3">
        <v>0</v>
      </c>
      <c r="F13" s="3">
        <v>0</v>
      </c>
      <c r="H13" s="3">
        <f t="shared" ref="H13:J16" si="6">C13/3</f>
        <v>2881800</v>
      </c>
      <c r="I13" s="3">
        <f>D13/3</f>
        <v>0</v>
      </c>
      <c r="J13" s="3">
        <f t="shared" si="6"/>
        <v>0</v>
      </c>
      <c r="K13" s="3">
        <f>F13/3</f>
        <v>0</v>
      </c>
    </row>
    <row r="14" spans="1:11" x14ac:dyDescent="0.25">
      <c r="B14" t="s">
        <v>8</v>
      </c>
      <c r="C14" s="3">
        <v>1933400</v>
      </c>
      <c r="D14" s="3">
        <v>0</v>
      </c>
      <c r="E14" s="3">
        <f>50%*C14</f>
        <v>966700</v>
      </c>
      <c r="F14" s="3">
        <v>1546720</v>
      </c>
      <c r="H14" s="3">
        <f t="shared" si="6"/>
        <v>644466.66666666663</v>
      </c>
      <c r="I14" s="3">
        <f>D14/3</f>
        <v>0</v>
      </c>
      <c r="J14" s="3">
        <f t="shared" si="6"/>
        <v>322233.33333333331</v>
      </c>
      <c r="K14" s="3">
        <f>F14/3</f>
        <v>515573.33333333331</v>
      </c>
    </row>
    <row r="15" spans="1:11" x14ac:dyDescent="0.25">
      <c r="B15" t="s">
        <v>16</v>
      </c>
      <c r="C15" s="3">
        <v>1168600</v>
      </c>
      <c r="D15" s="3">
        <v>0</v>
      </c>
      <c r="E15" s="3">
        <v>0</v>
      </c>
      <c r="F15" s="3">
        <v>584300</v>
      </c>
      <c r="H15" s="3">
        <f t="shared" si="6"/>
        <v>389533.33333333331</v>
      </c>
      <c r="I15" s="3">
        <f>D15/3</f>
        <v>0</v>
      </c>
      <c r="J15" s="3">
        <f t="shared" si="6"/>
        <v>0</v>
      </c>
      <c r="K15" s="3">
        <f>F15/3</f>
        <v>194766.66666666666</v>
      </c>
    </row>
    <row r="16" spans="1:11" x14ac:dyDescent="0.25">
      <c r="B16" t="s">
        <v>1</v>
      </c>
      <c r="C16" s="3">
        <v>416000</v>
      </c>
      <c r="D16" s="3">
        <v>0</v>
      </c>
      <c r="E16" s="3">
        <v>190900</v>
      </c>
      <c r="F16" s="3">
        <v>208000</v>
      </c>
      <c r="H16" s="3">
        <f t="shared" si="6"/>
        <v>138666.66666666666</v>
      </c>
      <c r="I16" s="3">
        <f>D16/3</f>
        <v>0</v>
      </c>
      <c r="J16" s="3">
        <f t="shared" si="6"/>
        <v>63633.333333333336</v>
      </c>
      <c r="K16" s="3">
        <f>F16/3</f>
        <v>69333.333333333328</v>
      </c>
    </row>
    <row r="17" spans="1:11" x14ac:dyDescent="0.25">
      <c r="B17" t="s">
        <v>34</v>
      </c>
      <c r="C17" s="3">
        <v>1453000</v>
      </c>
      <c r="D17" s="3">
        <v>0</v>
      </c>
      <c r="E17" s="3">
        <v>50000</v>
      </c>
      <c r="F17" s="3">
        <v>200000</v>
      </c>
      <c r="H17" s="3">
        <f t="shared" ref="H17" si="7">C17/3</f>
        <v>484333.33333333331</v>
      </c>
      <c r="I17" s="3">
        <f>D17/3</f>
        <v>0</v>
      </c>
      <c r="J17" s="3">
        <f t="shared" ref="J17" si="8">E17/3</f>
        <v>16666.666666666668</v>
      </c>
      <c r="K17" s="3">
        <f>F17/3</f>
        <v>66666.666666666672</v>
      </c>
    </row>
    <row r="18" spans="1:11" x14ac:dyDescent="0.25">
      <c r="C18" s="4">
        <f>SUM(C13:C17)</f>
        <v>13616400</v>
      </c>
      <c r="D18" s="4">
        <f>SUM(D13:D17)</f>
        <v>0</v>
      </c>
      <c r="E18" s="4">
        <f>SUM(E13:E17)</f>
        <v>1207600</v>
      </c>
      <c r="F18" s="4">
        <f>SUM(F13:F17)</f>
        <v>2539020</v>
      </c>
      <c r="H18" s="4">
        <f>SUM(H13:H17)</f>
        <v>4538800</v>
      </c>
      <c r="I18" s="4">
        <f>SUM(I13:I17)</f>
        <v>0</v>
      </c>
      <c r="J18" s="4">
        <f>SUM(J13:J17)</f>
        <v>402533.33333333331</v>
      </c>
      <c r="K18" s="4">
        <f>SUM(K13:K17)</f>
        <v>846340</v>
      </c>
    </row>
    <row r="19" spans="1:11" x14ac:dyDescent="0.25">
      <c r="D19" s="17">
        <f>D18/$C18</f>
        <v>0</v>
      </c>
      <c r="E19" s="17">
        <f t="shared" ref="E19" si="9">E18/$C18</f>
        <v>8.8687171352192951E-2</v>
      </c>
      <c r="F19" s="17">
        <f t="shared" ref="F19" si="10">F18/$C18</f>
        <v>0.18646778884286597</v>
      </c>
      <c r="I19" s="17">
        <f>D19</f>
        <v>0</v>
      </c>
      <c r="J19" s="17">
        <f t="shared" ref="J19" si="11">E19</f>
        <v>8.8687171352192951E-2</v>
      </c>
      <c r="K19" s="17">
        <f t="shared" ref="K19" si="12">F19</f>
        <v>0.18646778884286597</v>
      </c>
    </row>
    <row r="20" spans="1:11" x14ac:dyDescent="0.25">
      <c r="A20" t="s">
        <v>6</v>
      </c>
    </row>
    <row r="21" spans="1:11" x14ac:dyDescent="0.25">
      <c r="A21" t="s">
        <v>26</v>
      </c>
      <c r="B21" t="s">
        <v>9</v>
      </c>
      <c r="C21" s="3">
        <v>2820000</v>
      </c>
      <c r="D21">
        <v>0</v>
      </c>
      <c r="E21">
        <v>0</v>
      </c>
      <c r="F21" s="5">
        <v>705000</v>
      </c>
      <c r="H21" s="3">
        <f t="shared" ref="H21:J27" si="13">C21/3</f>
        <v>940000</v>
      </c>
      <c r="I21" s="3">
        <f t="shared" ref="I21:I27" si="14">D21/3</f>
        <v>0</v>
      </c>
      <c r="J21" s="3">
        <f t="shared" si="13"/>
        <v>0</v>
      </c>
      <c r="K21" s="3">
        <f t="shared" ref="K21:K27" si="15">F21/3</f>
        <v>235000</v>
      </c>
    </row>
    <row r="22" spans="1:11" x14ac:dyDescent="0.25">
      <c r="B22" t="s">
        <v>12</v>
      </c>
      <c r="C22" s="3">
        <v>423500</v>
      </c>
      <c r="D22">
        <v>0</v>
      </c>
      <c r="E22">
        <v>0</v>
      </c>
      <c r="F22">
        <v>0</v>
      </c>
      <c r="H22" s="3">
        <f t="shared" si="13"/>
        <v>141166.66666666666</v>
      </c>
      <c r="I22" s="3">
        <f t="shared" si="14"/>
        <v>0</v>
      </c>
      <c r="J22" s="3">
        <f t="shared" si="13"/>
        <v>0</v>
      </c>
      <c r="K22" s="3">
        <f t="shared" si="15"/>
        <v>0</v>
      </c>
    </row>
    <row r="23" spans="1:11" x14ac:dyDescent="0.25">
      <c r="B23" t="s">
        <v>35</v>
      </c>
      <c r="C23" s="3">
        <v>210500</v>
      </c>
      <c r="D23" s="5">
        <v>210500</v>
      </c>
      <c r="E23" s="5">
        <v>210500</v>
      </c>
      <c r="F23" s="5">
        <v>210500</v>
      </c>
      <c r="H23" s="3">
        <f t="shared" si="13"/>
        <v>70166.666666666672</v>
      </c>
      <c r="I23" s="3">
        <f t="shared" si="14"/>
        <v>70166.666666666672</v>
      </c>
      <c r="J23" s="3">
        <f t="shared" si="13"/>
        <v>70166.666666666672</v>
      </c>
      <c r="K23" s="3">
        <f t="shared" si="15"/>
        <v>70166.666666666672</v>
      </c>
    </row>
    <row r="24" spans="1:11" x14ac:dyDescent="0.25">
      <c r="B24" t="s">
        <v>10</v>
      </c>
      <c r="C24" s="3">
        <v>1569000</v>
      </c>
      <c r="D24">
        <v>0</v>
      </c>
      <c r="E24" s="5">
        <f>50%*C24</f>
        <v>784500</v>
      </c>
      <c r="F24" s="5">
        <v>1569000</v>
      </c>
      <c r="H24" s="3">
        <f t="shared" si="13"/>
        <v>523000</v>
      </c>
      <c r="I24" s="3">
        <f t="shared" si="14"/>
        <v>0</v>
      </c>
      <c r="J24" s="3">
        <f t="shared" si="13"/>
        <v>261500</v>
      </c>
      <c r="K24" s="3">
        <f t="shared" si="15"/>
        <v>523000</v>
      </c>
    </row>
    <row r="25" spans="1:11" x14ac:dyDescent="0.25">
      <c r="B25" t="s">
        <v>31</v>
      </c>
      <c r="C25" s="3">
        <v>1424999.99997</v>
      </c>
      <c r="D25" s="5">
        <v>1424999.99997</v>
      </c>
      <c r="E25" s="5">
        <v>1424999.99997</v>
      </c>
      <c r="F25" s="5">
        <v>1424999.99997</v>
      </c>
      <c r="H25" s="3">
        <f t="shared" si="13"/>
        <v>474999.99998999998</v>
      </c>
      <c r="I25" s="3">
        <f t="shared" si="14"/>
        <v>474999.99998999998</v>
      </c>
      <c r="J25" s="3">
        <f t="shared" si="13"/>
        <v>474999.99998999998</v>
      </c>
      <c r="K25" s="3">
        <f t="shared" si="15"/>
        <v>474999.99998999998</v>
      </c>
    </row>
    <row r="26" spans="1:11" x14ac:dyDescent="0.25">
      <c r="B26" t="s">
        <v>27</v>
      </c>
      <c r="C26" s="3">
        <v>26274760.835951455</v>
      </c>
      <c r="D26">
        <v>0</v>
      </c>
      <c r="E26">
        <v>0</v>
      </c>
      <c r="F26">
        <v>0</v>
      </c>
      <c r="H26" s="3">
        <f t="shared" si="13"/>
        <v>8758253.6119838189</v>
      </c>
      <c r="I26" s="3">
        <f t="shared" si="14"/>
        <v>0</v>
      </c>
      <c r="J26" s="3">
        <f t="shared" si="13"/>
        <v>0</v>
      </c>
      <c r="K26" s="3">
        <f t="shared" si="15"/>
        <v>0</v>
      </c>
    </row>
    <row r="27" spans="1:11" x14ac:dyDescent="0.25">
      <c r="A27" s="12"/>
      <c r="B27" s="12" t="s">
        <v>29</v>
      </c>
      <c r="C27" s="3">
        <v>7915895.8598890183</v>
      </c>
      <c r="D27" s="5">
        <f>50%*E27</f>
        <v>3957947.9299445092</v>
      </c>
      <c r="E27" s="5">
        <v>7915895.8598890183</v>
      </c>
      <c r="F27" s="5">
        <v>7915895.8598890183</v>
      </c>
      <c r="H27" s="3">
        <f t="shared" si="13"/>
        <v>2638631.9532963396</v>
      </c>
      <c r="I27" s="3">
        <f t="shared" si="14"/>
        <v>1319315.9766481698</v>
      </c>
      <c r="J27" s="3">
        <f t="shared" si="13"/>
        <v>2638631.9532963396</v>
      </c>
      <c r="K27" s="3">
        <f t="shared" si="15"/>
        <v>2638631.9532963396</v>
      </c>
    </row>
    <row r="28" spans="1:11" x14ac:dyDescent="0.25">
      <c r="A28" s="11"/>
      <c r="B28" s="11"/>
      <c r="C28" s="4">
        <f>SUM(C21:C27)</f>
        <v>40638656.695810474</v>
      </c>
      <c r="D28" s="4">
        <f>SUM(D21:D27)</f>
        <v>5593447.9299145089</v>
      </c>
      <c r="E28" s="4">
        <f>SUM(E21:E27)</f>
        <v>10335895.85985902</v>
      </c>
      <c r="F28" s="4">
        <f>SUM(F21:F27)</f>
        <v>11825395.85985902</v>
      </c>
      <c r="H28" s="4">
        <f>SUM(H21:H27)</f>
        <v>13546218.898603491</v>
      </c>
      <c r="I28" s="4">
        <f>SUM(I21:I27)</f>
        <v>1864482.6433048365</v>
      </c>
      <c r="J28" s="4">
        <f>SUM(J21:J27)</f>
        <v>3445298.6199530065</v>
      </c>
      <c r="K28" s="4">
        <f>SUM(K21:K27)</f>
        <v>3941798.6199530065</v>
      </c>
    </row>
    <row r="29" spans="1:11" x14ac:dyDescent="0.25">
      <c r="D29" s="17">
        <f>D28/$C28</f>
        <v>0.1376386028648223</v>
      </c>
      <c r="E29" s="17">
        <f t="shared" ref="E29" si="16">E28/$C28</f>
        <v>0.25433655293346763</v>
      </c>
      <c r="F29" s="17">
        <f t="shared" ref="F29" si="17">F28/$C28</f>
        <v>0.2909888471062117</v>
      </c>
      <c r="I29" s="17">
        <f>D29</f>
        <v>0.1376386028648223</v>
      </c>
      <c r="J29" s="17">
        <f t="shared" ref="J29:K29" si="18">E29</f>
        <v>0.25433655293346763</v>
      </c>
      <c r="K29" s="17">
        <f t="shared" si="18"/>
        <v>0.2909888471062117</v>
      </c>
    </row>
    <row r="31" spans="1:11" x14ac:dyDescent="0.25">
      <c r="A31" s="8"/>
      <c r="B31" s="8"/>
      <c r="C31" s="8">
        <f>C8+C11+C18+C28</f>
        <v>65929490.695810474</v>
      </c>
      <c r="D31" s="8">
        <f>D8+D11+D18+D28</f>
        <v>5773780.9299145089</v>
      </c>
      <c r="E31" s="8">
        <f>E8+E11+E18+E28</f>
        <v>12097836.90985902</v>
      </c>
      <c r="F31" s="8">
        <f>F8+F11+F18+F28</f>
        <v>25751661.90985902</v>
      </c>
      <c r="H31" s="8">
        <f>H8+H11+H18+H28</f>
        <v>21976496.898603491</v>
      </c>
      <c r="I31" s="8">
        <f>I8+I11+I18+I28</f>
        <v>1924593.6433048365</v>
      </c>
      <c r="J31" s="8">
        <f>J8+J11+J18+J28</f>
        <v>4032612.3032863401</v>
      </c>
      <c r="K31" s="8">
        <f>K8+K11+K18+K28</f>
        <v>8583887.3032863401</v>
      </c>
    </row>
    <row r="32" spans="1:11" x14ac:dyDescent="0.25">
      <c r="C32" s="3"/>
      <c r="D32" s="17">
        <f>D31/$C31</f>
        <v>8.7575087703224239E-2</v>
      </c>
      <c r="E32" s="17">
        <f t="shared" ref="E32" si="19">E31/$C31</f>
        <v>0.18349659283243613</v>
      </c>
      <c r="F32" s="17">
        <f t="shared" ref="F32" si="20">F31/$C31</f>
        <v>0.39059397605046908</v>
      </c>
      <c r="I32" s="17">
        <f>D32</f>
        <v>8.7575087703224239E-2</v>
      </c>
      <c r="J32" s="17">
        <f t="shared" ref="J32" si="21">E32</f>
        <v>0.18349659283243613</v>
      </c>
      <c r="K32" s="17">
        <f t="shared" ref="K32" si="22">F32</f>
        <v>0.39059397605046908</v>
      </c>
    </row>
    <row r="33" spans="2:11" x14ac:dyDescent="0.25">
      <c r="H33" s="5"/>
      <c r="J33" s="5"/>
      <c r="K33" s="5"/>
    </row>
    <row r="34" spans="2:11" x14ac:dyDescent="0.25">
      <c r="B34" t="s">
        <v>5</v>
      </c>
      <c r="C34" s="3">
        <v>20241654.847521596</v>
      </c>
      <c r="H34" s="3">
        <f>C34/3</f>
        <v>6747218.2825071989</v>
      </c>
      <c r="J34" s="5"/>
      <c r="K34" s="5"/>
    </row>
    <row r="35" spans="2:11" x14ac:dyDescent="0.25">
      <c r="B35" t="s">
        <v>7</v>
      </c>
      <c r="C35" s="3">
        <v>1595953.0685543178</v>
      </c>
      <c r="H35" s="3">
        <f>C35/3</f>
        <v>531984.35618477257</v>
      </c>
      <c r="J35" s="5"/>
      <c r="K35" s="5"/>
    </row>
    <row r="36" spans="2:11" x14ac:dyDescent="0.25">
      <c r="B36" t="s">
        <v>30</v>
      </c>
      <c r="C36" s="3">
        <f>C34-C35</f>
        <v>18645701.778967276</v>
      </c>
      <c r="H36" s="5">
        <f>C34/3</f>
        <v>6747218.2825071989</v>
      </c>
      <c r="J36" s="5"/>
      <c r="K36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A53C8-1095-9049-A2E5-F2DC65D94CEE}">
  <dimension ref="A1:Q35"/>
  <sheetViews>
    <sheetView workbookViewId="0">
      <selection activeCell="G7" sqref="G7"/>
    </sheetView>
  </sheetViews>
  <sheetFormatPr defaultColWidth="11.5546875" defaultRowHeight="13.2" x14ac:dyDescent="0.25"/>
  <cols>
    <col min="3" max="3" width="12.77734375" customWidth="1"/>
    <col min="4" max="4" width="12" customWidth="1"/>
    <col min="5" max="5" width="11.6640625" customWidth="1"/>
    <col min="6" max="6" width="13.109375" customWidth="1"/>
    <col min="8" max="8" width="12.6640625" customWidth="1"/>
    <col min="11" max="11" width="11.77734375" customWidth="1"/>
    <col min="16" max="16" width="11.77734375" customWidth="1"/>
  </cols>
  <sheetData>
    <row r="1" spans="1:17" x14ac:dyDescent="0.25">
      <c r="A1" s="13"/>
      <c r="B1" s="13"/>
      <c r="C1" s="13"/>
      <c r="D1" s="14" t="s">
        <v>24</v>
      </c>
      <c r="E1" s="14" t="s">
        <v>36</v>
      </c>
      <c r="F1" s="14" t="s">
        <v>23</v>
      </c>
      <c r="G1" s="13"/>
      <c r="H1" s="14" t="s">
        <v>37</v>
      </c>
      <c r="I1" s="14" t="str">
        <f>D1</f>
        <v>Standaard</v>
      </c>
      <c r="J1" s="14" t="str">
        <f>E1</f>
        <v>Avri Solar</v>
      </c>
      <c r="K1" s="14" t="str">
        <f>F1</f>
        <v>Potentieel</v>
      </c>
      <c r="L1" s="13"/>
      <c r="M1" s="13"/>
      <c r="N1" s="14" t="s">
        <v>37</v>
      </c>
      <c r="O1" s="14"/>
      <c r="P1" s="14" t="s">
        <v>38</v>
      </c>
      <c r="Q1" s="14" t="s">
        <v>39</v>
      </c>
    </row>
    <row r="2" spans="1:17" x14ac:dyDescent="0.25">
      <c r="A2" s="13" t="s">
        <v>2</v>
      </c>
      <c r="B2" s="16" t="s">
        <v>13</v>
      </c>
      <c r="C2" s="3"/>
      <c r="D2" s="3">
        <v>0</v>
      </c>
      <c r="E2" s="3">
        <f>F2</f>
        <v>0</v>
      </c>
      <c r="F2" s="3">
        <f>C2</f>
        <v>0</v>
      </c>
      <c r="G2" s="13"/>
      <c r="H2" s="3">
        <f>C2/10</f>
        <v>0</v>
      </c>
      <c r="I2" s="3">
        <f t="shared" ref="I2:K8" si="0">D2/10</f>
        <v>0</v>
      </c>
      <c r="J2" s="3">
        <f t="shared" si="0"/>
        <v>0</v>
      </c>
      <c r="K2" s="3">
        <f t="shared" si="0"/>
        <v>0</v>
      </c>
      <c r="L2" s="13"/>
      <c r="M2" s="13"/>
      <c r="N2" s="18" t="s">
        <v>40</v>
      </c>
      <c r="O2" s="3"/>
      <c r="P2" s="3">
        <f t="shared" ref="P2:Q7" si="1">K2/10</f>
        <v>0</v>
      </c>
      <c r="Q2" s="3">
        <f t="shared" si="1"/>
        <v>0</v>
      </c>
    </row>
    <row r="3" spans="1:17" x14ac:dyDescent="0.25">
      <c r="A3" s="13"/>
      <c r="B3" s="16" t="s">
        <v>3</v>
      </c>
      <c r="C3" s="3">
        <v>8300</v>
      </c>
      <c r="D3" s="3">
        <v>8300</v>
      </c>
      <c r="E3" s="3">
        <v>8300</v>
      </c>
      <c r="F3" s="3">
        <v>8300</v>
      </c>
      <c r="G3" s="13"/>
      <c r="H3" s="3">
        <f t="shared" ref="H3:H8" si="2">C3/10</f>
        <v>830</v>
      </c>
      <c r="I3" s="3">
        <f t="shared" si="0"/>
        <v>830</v>
      </c>
      <c r="J3" s="3">
        <f t="shared" si="0"/>
        <v>830</v>
      </c>
      <c r="K3" s="3">
        <f t="shared" si="0"/>
        <v>830</v>
      </c>
      <c r="L3" s="13"/>
      <c r="M3" s="13"/>
      <c r="N3" s="16" t="s">
        <v>3</v>
      </c>
      <c r="O3" s="3"/>
      <c r="P3" s="3">
        <v>250</v>
      </c>
      <c r="Q3" s="3">
        <f>P3</f>
        <v>250</v>
      </c>
    </row>
    <row r="4" spans="1:17" x14ac:dyDescent="0.25">
      <c r="A4" s="13"/>
      <c r="B4" s="16" t="s">
        <v>11</v>
      </c>
      <c r="C4" s="3">
        <f>D4</f>
        <v>0</v>
      </c>
      <c r="D4" s="3"/>
      <c r="E4" s="3">
        <f>F4</f>
        <v>0</v>
      </c>
      <c r="F4" s="3">
        <f>C4</f>
        <v>0</v>
      </c>
      <c r="G4" s="13"/>
      <c r="H4" s="3">
        <f t="shared" si="2"/>
        <v>0</v>
      </c>
      <c r="I4" s="3">
        <f t="shared" si="0"/>
        <v>0</v>
      </c>
      <c r="J4" s="3">
        <f t="shared" si="0"/>
        <v>0</v>
      </c>
      <c r="K4" s="3">
        <f t="shared" si="0"/>
        <v>0</v>
      </c>
      <c r="L4" s="13"/>
      <c r="M4" s="13"/>
      <c r="N4" s="16" t="s">
        <v>11</v>
      </c>
      <c r="O4" s="3"/>
      <c r="P4" s="3">
        <v>5000</v>
      </c>
      <c r="Q4" s="3">
        <f>P4</f>
        <v>5000</v>
      </c>
    </row>
    <row r="5" spans="1:17" x14ac:dyDescent="0.25">
      <c r="A5" s="13"/>
      <c r="B5" s="16" t="s">
        <v>14</v>
      </c>
      <c r="C5" s="3">
        <f>246695+32535+725+8532+47539</f>
        <v>336026</v>
      </c>
      <c r="D5" s="3"/>
      <c r="E5" s="3">
        <f>F5</f>
        <v>0</v>
      </c>
      <c r="F5" s="3">
        <v>0</v>
      </c>
      <c r="G5" s="13"/>
      <c r="H5" s="3">
        <f t="shared" si="2"/>
        <v>33602.6</v>
      </c>
      <c r="I5" s="3">
        <f t="shared" si="0"/>
        <v>0</v>
      </c>
      <c r="J5" s="3">
        <f t="shared" si="0"/>
        <v>0</v>
      </c>
      <c r="K5" s="3">
        <f t="shared" si="0"/>
        <v>0</v>
      </c>
      <c r="L5" s="13"/>
      <c r="M5" s="13"/>
      <c r="N5" s="16" t="s">
        <v>14</v>
      </c>
      <c r="O5" s="3"/>
      <c r="P5" s="3">
        <v>5000</v>
      </c>
      <c r="Q5" s="3">
        <f t="shared" si="1"/>
        <v>0</v>
      </c>
    </row>
    <row r="6" spans="1:17" x14ac:dyDescent="0.25">
      <c r="A6" s="13"/>
      <c r="B6" s="16" t="s">
        <v>15</v>
      </c>
      <c r="C6" s="3">
        <v>0</v>
      </c>
      <c r="D6" s="3"/>
      <c r="E6" s="3">
        <v>0</v>
      </c>
      <c r="F6" s="3">
        <f>C6</f>
        <v>0</v>
      </c>
      <c r="G6" s="13"/>
      <c r="H6" s="3">
        <f t="shared" si="2"/>
        <v>0</v>
      </c>
      <c r="I6" s="3">
        <f t="shared" si="0"/>
        <v>0</v>
      </c>
      <c r="J6" s="3">
        <f t="shared" si="0"/>
        <v>0</v>
      </c>
      <c r="K6" s="3">
        <f t="shared" si="0"/>
        <v>0</v>
      </c>
      <c r="L6" s="13"/>
      <c r="M6" s="13"/>
      <c r="N6" s="16" t="s">
        <v>15</v>
      </c>
      <c r="O6" s="3"/>
      <c r="P6" s="3">
        <f t="shared" si="1"/>
        <v>0</v>
      </c>
      <c r="Q6" s="3">
        <f t="shared" si="1"/>
        <v>0</v>
      </c>
    </row>
    <row r="7" spans="1:17" x14ac:dyDescent="0.25">
      <c r="A7" s="13"/>
      <c r="B7" s="16" t="s">
        <v>19</v>
      </c>
      <c r="C7" s="3">
        <v>125048</v>
      </c>
      <c r="D7" s="3"/>
      <c r="E7" s="3">
        <v>125048</v>
      </c>
      <c r="F7" s="3">
        <v>125048</v>
      </c>
      <c r="G7" s="13"/>
      <c r="H7" s="3">
        <f t="shared" si="2"/>
        <v>12504.8</v>
      </c>
      <c r="I7" s="3">
        <f t="shared" si="0"/>
        <v>0</v>
      </c>
      <c r="J7" s="3">
        <f t="shared" si="0"/>
        <v>12504.8</v>
      </c>
      <c r="K7" s="3">
        <f t="shared" si="0"/>
        <v>12504.8</v>
      </c>
      <c r="L7" s="13"/>
      <c r="M7" s="13"/>
      <c r="N7" s="16" t="s">
        <v>19</v>
      </c>
      <c r="O7" s="3"/>
      <c r="P7" s="3">
        <v>0</v>
      </c>
      <c r="Q7" s="3">
        <f t="shared" si="1"/>
        <v>0</v>
      </c>
    </row>
    <row r="8" spans="1:17" x14ac:dyDescent="0.25">
      <c r="A8" s="13"/>
      <c r="B8" s="13"/>
      <c r="C8" s="4">
        <f>SUM(C2:C7)</f>
        <v>469374</v>
      </c>
      <c r="D8" s="4">
        <f>SUM(D2:D7)</f>
        <v>8300</v>
      </c>
      <c r="E8" s="4">
        <f>SUM(E2:E7)</f>
        <v>133348</v>
      </c>
      <c r="F8" s="4">
        <f>SUM(F2:F7)</f>
        <v>133348</v>
      </c>
      <c r="G8" s="13"/>
      <c r="H8" s="4">
        <f t="shared" si="2"/>
        <v>46937.4</v>
      </c>
      <c r="I8" s="4">
        <f t="shared" si="0"/>
        <v>830</v>
      </c>
      <c r="J8" s="4">
        <f t="shared" si="0"/>
        <v>13334.8</v>
      </c>
      <c r="K8" s="4">
        <f t="shared" si="0"/>
        <v>13334.8</v>
      </c>
      <c r="L8" s="13"/>
      <c r="M8" s="13"/>
      <c r="N8" s="13"/>
      <c r="O8" s="4"/>
      <c r="P8" s="4">
        <f>SUM(P2:P7)</f>
        <v>10250</v>
      </c>
      <c r="Q8" s="4">
        <f>SUM(Q2:Q7)</f>
        <v>5250</v>
      </c>
    </row>
    <row r="9" spans="1:17" x14ac:dyDescent="0.25">
      <c r="A9" s="13"/>
      <c r="B9" s="9" t="s">
        <v>25</v>
      </c>
      <c r="C9" s="13"/>
      <c r="D9" s="17">
        <f>D8/$C8</f>
        <v>1.7683126888153156E-2</v>
      </c>
      <c r="E9" s="17">
        <f>E8/$C8</f>
        <v>0.28409754268451171</v>
      </c>
      <c r="F9" s="17">
        <f>F8/$C8</f>
        <v>0.28409754268451171</v>
      </c>
      <c r="G9" s="13"/>
      <c r="H9" s="13"/>
      <c r="I9" s="17">
        <f>D9</f>
        <v>1.7683126888153156E-2</v>
      </c>
      <c r="J9" s="17">
        <f>E9</f>
        <v>0.28409754268451171</v>
      </c>
      <c r="K9" s="17">
        <f>F9</f>
        <v>0.28409754268451171</v>
      </c>
      <c r="L9" s="13"/>
      <c r="M9" s="13"/>
      <c r="N9" s="9" t="s">
        <v>25</v>
      </c>
      <c r="O9" s="17"/>
      <c r="P9" s="17"/>
      <c r="Q9" s="17">
        <f>Q8/P8</f>
        <v>0.51219512195121952</v>
      </c>
    </row>
    <row r="10" spans="1:17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x14ac:dyDescent="0.25">
      <c r="A11" s="13"/>
      <c r="B11" s="13" t="s">
        <v>4</v>
      </c>
      <c r="C11" s="3"/>
      <c r="D11" s="3">
        <v>0</v>
      </c>
      <c r="E11" s="3">
        <v>0</v>
      </c>
      <c r="F11" s="3">
        <f>C11</f>
        <v>0</v>
      </c>
      <c r="G11" s="13"/>
      <c r="H11" s="3">
        <f t="shared" ref="H11:K11" si="3">C11/4</f>
        <v>0</v>
      </c>
      <c r="I11" s="3">
        <f t="shared" si="3"/>
        <v>0</v>
      </c>
      <c r="J11" s="3">
        <f t="shared" si="3"/>
        <v>0</v>
      </c>
      <c r="K11" s="3">
        <f t="shared" si="3"/>
        <v>0</v>
      </c>
      <c r="L11" s="13"/>
      <c r="M11" s="13"/>
      <c r="N11" s="13" t="s">
        <v>4</v>
      </c>
      <c r="O11" s="3"/>
      <c r="P11" s="3">
        <f t="shared" ref="P11:Q11" si="4">K11/4</f>
        <v>0</v>
      </c>
      <c r="Q11" s="3">
        <f t="shared" si="4"/>
        <v>0</v>
      </c>
    </row>
    <row r="12" spans="1:17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" t="s">
        <v>41</v>
      </c>
      <c r="O12" s="13"/>
      <c r="P12" s="13"/>
      <c r="Q12" s="13"/>
    </row>
    <row r="13" spans="1:17" x14ac:dyDescent="0.25">
      <c r="A13" s="13" t="s">
        <v>17</v>
      </c>
      <c r="B13" s="13" t="s">
        <v>42</v>
      </c>
      <c r="C13" s="3">
        <f>55677+4092198+766433+32241+929154+41757+27838</f>
        <v>5945298</v>
      </c>
      <c r="D13" s="13"/>
      <c r="E13" s="3">
        <v>0</v>
      </c>
      <c r="F13" s="3">
        <v>0</v>
      </c>
      <c r="G13" s="13"/>
      <c r="H13" s="3">
        <f t="shared" ref="H13:K17" si="5">C13/10</f>
        <v>594529.80000000005</v>
      </c>
      <c r="I13" s="3">
        <f t="shared" si="5"/>
        <v>0</v>
      </c>
      <c r="J13" s="3">
        <f t="shared" si="5"/>
        <v>0</v>
      </c>
      <c r="K13" s="3">
        <f t="shared" si="5"/>
        <v>0</v>
      </c>
      <c r="L13" s="13"/>
      <c r="M13" s="13"/>
      <c r="N13" s="13" t="s">
        <v>42</v>
      </c>
      <c r="O13" s="3"/>
      <c r="P13" s="3">
        <v>500000</v>
      </c>
      <c r="Q13" s="3">
        <f t="shared" ref="Q13:Q15" si="6">L13/10</f>
        <v>0</v>
      </c>
    </row>
    <row r="14" spans="1:17" x14ac:dyDescent="0.25">
      <c r="A14" s="13"/>
      <c r="B14" s="13" t="s">
        <v>20</v>
      </c>
      <c r="C14" s="3">
        <f>197186+636796+872724+216893</f>
        <v>1923599</v>
      </c>
      <c r="D14" s="13"/>
      <c r="E14" s="3"/>
      <c r="F14" s="3">
        <f>80%*C14</f>
        <v>1538879.2000000002</v>
      </c>
      <c r="G14" s="13"/>
      <c r="H14" s="3">
        <f t="shared" si="5"/>
        <v>192359.9</v>
      </c>
      <c r="I14" s="3">
        <f t="shared" si="5"/>
        <v>0</v>
      </c>
      <c r="J14" s="3">
        <f t="shared" si="5"/>
        <v>0</v>
      </c>
      <c r="K14" s="3">
        <f t="shared" si="5"/>
        <v>153887.92000000001</v>
      </c>
      <c r="L14" s="13"/>
      <c r="M14" s="13"/>
      <c r="N14" s="13" t="s">
        <v>20</v>
      </c>
      <c r="O14" s="3"/>
      <c r="P14" s="3">
        <v>30000</v>
      </c>
      <c r="Q14" s="3">
        <f>P14</f>
        <v>30000</v>
      </c>
    </row>
    <row r="15" spans="1:17" x14ac:dyDescent="0.25">
      <c r="A15" s="13"/>
      <c r="B15" s="13" t="s">
        <v>21</v>
      </c>
      <c r="C15" s="3">
        <f>782391+417571+371174</f>
        <v>1571136</v>
      </c>
      <c r="D15" s="13"/>
      <c r="E15" s="3">
        <v>0</v>
      </c>
      <c r="F15" s="3">
        <f>40%*C15</f>
        <v>628454.40000000002</v>
      </c>
      <c r="G15" s="13"/>
      <c r="H15" s="3">
        <f t="shared" si="5"/>
        <v>157113.60000000001</v>
      </c>
      <c r="I15" s="3">
        <f t="shared" si="5"/>
        <v>0</v>
      </c>
      <c r="J15" s="3">
        <f t="shared" si="5"/>
        <v>0</v>
      </c>
      <c r="K15" s="3">
        <f t="shared" si="5"/>
        <v>62845.440000000002</v>
      </c>
      <c r="L15" s="13"/>
      <c r="M15" s="13"/>
      <c r="N15" s="13" t="s">
        <v>21</v>
      </c>
      <c r="O15" s="3"/>
      <c r="P15" s="3">
        <v>100000</v>
      </c>
      <c r="Q15" s="3">
        <f t="shared" si="6"/>
        <v>0</v>
      </c>
    </row>
    <row r="16" spans="1:17" x14ac:dyDescent="0.25">
      <c r="A16" s="13"/>
      <c r="B16" s="13" t="s">
        <v>1</v>
      </c>
      <c r="C16" s="3">
        <f>49032+141403+152059+2127+11450+35707</f>
        <v>391778</v>
      </c>
      <c r="D16" s="13"/>
      <c r="E16" s="3"/>
      <c r="F16" s="3">
        <f t="shared" ref="F16" si="7">80%*C16</f>
        <v>313422.40000000002</v>
      </c>
      <c r="G16" s="13"/>
      <c r="H16" s="3">
        <f t="shared" si="5"/>
        <v>39177.800000000003</v>
      </c>
      <c r="I16" s="3">
        <f t="shared" si="5"/>
        <v>0</v>
      </c>
      <c r="J16" s="3">
        <f t="shared" si="5"/>
        <v>0</v>
      </c>
      <c r="K16" s="3">
        <f t="shared" si="5"/>
        <v>31342.240000000002</v>
      </c>
      <c r="L16" s="13"/>
      <c r="M16" s="13"/>
      <c r="N16" s="13" t="s">
        <v>1</v>
      </c>
      <c r="O16" s="3"/>
      <c r="P16" s="3">
        <v>25000</v>
      </c>
      <c r="Q16" s="3">
        <v>25000</v>
      </c>
    </row>
    <row r="17" spans="1:17" x14ac:dyDescent="0.25">
      <c r="A17" s="13"/>
      <c r="B17" s="13"/>
      <c r="C17" s="4">
        <f>SUM(C13:C16)</f>
        <v>9831811</v>
      </c>
      <c r="D17" s="4"/>
      <c r="E17" s="4">
        <f>SUM(E13:E16)</f>
        <v>0</v>
      </c>
      <c r="F17" s="4">
        <f>SUM(F13:F16)</f>
        <v>2480756</v>
      </c>
      <c r="G17" s="13"/>
      <c r="H17" s="4">
        <f t="shared" si="5"/>
        <v>983181.1</v>
      </c>
      <c r="I17" s="4">
        <f t="shared" si="5"/>
        <v>0</v>
      </c>
      <c r="J17" s="4">
        <f t="shared" si="5"/>
        <v>0</v>
      </c>
      <c r="K17" s="4">
        <f t="shared" si="5"/>
        <v>248075.6</v>
      </c>
      <c r="L17" s="13"/>
      <c r="M17" s="13"/>
      <c r="N17" s="13"/>
      <c r="O17" s="4"/>
      <c r="P17" s="4">
        <f>SUM(P13:P16)</f>
        <v>655000</v>
      </c>
      <c r="Q17" s="4">
        <f>SUM(Q13:Q16)</f>
        <v>55000</v>
      </c>
    </row>
    <row r="18" spans="1:17" x14ac:dyDescent="0.25">
      <c r="A18" s="13"/>
      <c r="B18" s="9" t="s">
        <v>25</v>
      </c>
      <c r="C18" s="13"/>
      <c r="D18" s="17">
        <f>D17/$C17</f>
        <v>0</v>
      </c>
      <c r="E18" s="17">
        <f>E17/$C17</f>
        <v>0</v>
      </c>
      <c r="F18" s="17">
        <f>F17/$C17</f>
        <v>0.25231933364056736</v>
      </c>
      <c r="G18" s="13"/>
      <c r="H18" s="13"/>
      <c r="I18" s="17">
        <f>D18</f>
        <v>0</v>
      </c>
      <c r="J18" s="17">
        <f>E18</f>
        <v>0</v>
      </c>
      <c r="K18" s="17">
        <f>F18</f>
        <v>0.25231933364056736</v>
      </c>
      <c r="L18" s="13"/>
      <c r="M18" s="13"/>
      <c r="N18" s="9"/>
      <c r="O18" s="17"/>
      <c r="P18" s="17"/>
      <c r="Q18" s="17">
        <f>Q17/P17</f>
        <v>8.3969465648854963E-2</v>
      </c>
    </row>
    <row r="19" spans="1:17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" t="s">
        <v>43</v>
      </c>
      <c r="O19" s="13"/>
      <c r="P19" s="13"/>
      <c r="Q19" s="13"/>
    </row>
    <row r="20" spans="1:17" x14ac:dyDescent="0.25">
      <c r="A20" s="13" t="s">
        <v>6</v>
      </c>
      <c r="B20" s="13" t="s">
        <v>9</v>
      </c>
      <c r="C20" s="3">
        <v>1283775</v>
      </c>
      <c r="D20" s="13"/>
      <c r="E20" s="3">
        <v>0</v>
      </c>
      <c r="F20" s="3">
        <f>C20*80%</f>
        <v>1027020</v>
      </c>
      <c r="G20" s="13"/>
      <c r="H20" s="3">
        <f t="shared" ref="H20:K27" si="8">C20/10</f>
        <v>128377.5</v>
      </c>
      <c r="I20" s="3">
        <f t="shared" si="8"/>
        <v>0</v>
      </c>
      <c r="J20" s="3">
        <f t="shared" si="8"/>
        <v>0</v>
      </c>
      <c r="K20" s="3">
        <f t="shared" si="8"/>
        <v>102702</v>
      </c>
      <c r="L20" s="13"/>
      <c r="M20" s="13"/>
      <c r="N20" s="13" t="s">
        <v>9</v>
      </c>
      <c r="O20" s="3"/>
      <c r="P20" s="3">
        <v>130000</v>
      </c>
      <c r="Q20" s="3">
        <v>30000</v>
      </c>
    </row>
    <row r="21" spans="1:17" x14ac:dyDescent="0.25">
      <c r="A21" s="13" t="s">
        <v>26</v>
      </c>
      <c r="B21" s="13" t="s">
        <v>12</v>
      </c>
      <c r="C21" s="3">
        <v>286668</v>
      </c>
      <c r="D21" s="13"/>
      <c r="E21" s="3">
        <v>0</v>
      </c>
      <c r="F21" s="3">
        <v>0</v>
      </c>
      <c r="G21" s="13"/>
      <c r="H21" s="3">
        <f t="shared" si="8"/>
        <v>28666.799999999999</v>
      </c>
      <c r="I21" s="3">
        <f t="shared" si="8"/>
        <v>0</v>
      </c>
      <c r="J21" s="3">
        <f t="shared" si="8"/>
        <v>0</v>
      </c>
      <c r="K21" s="3">
        <f t="shared" si="8"/>
        <v>0</v>
      </c>
      <c r="L21" s="13"/>
      <c r="M21" s="13"/>
      <c r="N21" s="13" t="s">
        <v>12</v>
      </c>
      <c r="O21" s="3"/>
      <c r="P21" s="3">
        <v>30000</v>
      </c>
      <c r="Q21" s="3">
        <f t="shared" ref="Q21:Q25" si="9">L21/10</f>
        <v>0</v>
      </c>
    </row>
    <row r="22" spans="1:17" x14ac:dyDescent="0.25">
      <c r="A22" s="13"/>
      <c r="B22" s="13" t="s">
        <v>33</v>
      </c>
      <c r="C22" s="3">
        <v>864671</v>
      </c>
      <c r="D22" s="13">
        <v>864671</v>
      </c>
      <c r="E22" s="3">
        <f>C22</f>
        <v>864671</v>
      </c>
      <c r="F22" s="3">
        <f>E22</f>
        <v>864671</v>
      </c>
      <c r="G22" s="13"/>
      <c r="H22" s="3">
        <f t="shared" si="8"/>
        <v>86467.1</v>
      </c>
      <c r="I22" s="3">
        <f t="shared" si="8"/>
        <v>86467.1</v>
      </c>
      <c r="J22" s="3">
        <f t="shared" si="8"/>
        <v>86467.1</v>
      </c>
      <c r="K22" s="3">
        <f t="shared" si="8"/>
        <v>86467.1</v>
      </c>
      <c r="L22" s="13"/>
      <c r="M22" s="13"/>
      <c r="N22" s="13" t="s">
        <v>33</v>
      </c>
      <c r="O22" s="3"/>
      <c r="P22" s="3">
        <v>80000</v>
      </c>
      <c r="Q22" s="3">
        <v>80000</v>
      </c>
    </row>
    <row r="23" spans="1:17" x14ac:dyDescent="0.25">
      <c r="A23" s="13"/>
      <c r="B23" s="13" t="s">
        <v>10</v>
      </c>
      <c r="C23" s="3">
        <f>692611+256000+129865+213332+41504+432335+125603</f>
        <v>1891250</v>
      </c>
      <c r="D23" s="13"/>
      <c r="E23" s="3">
        <v>432335</v>
      </c>
      <c r="F23" s="3">
        <f>C23*80%</f>
        <v>1513000</v>
      </c>
      <c r="G23" s="13"/>
      <c r="H23" s="3">
        <f t="shared" si="8"/>
        <v>189125</v>
      </c>
      <c r="I23" s="3">
        <f t="shared" si="8"/>
        <v>0</v>
      </c>
      <c r="J23" s="3">
        <f t="shared" si="8"/>
        <v>43233.5</v>
      </c>
      <c r="K23" s="3">
        <f t="shared" si="8"/>
        <v>151300</v>
      </c>
      <c r="L23" s="13"/>
      <c r="M23" s="13"/>
      <c r="N23" s="13" t="s">
        <v>10</v>
      </c>
      <c r="O23" s="3"/>
      <c r="P23" s="3">
        <v>150000</v>
      </c>
      <c r="Q23" s="3">
        <v>30000</v>
      </c>
    </row>
    <row r="24" spans="1:17" x14ac:dyDescent="0.25">
      <c r="A24" s="13"/>
      <c r="B24" s="13" t="s">
        <v>31</v>
      </c>
      <c r="C24" s="3">
        <v>311282</v>
      </c>
      <c r="D24" s="13">
        <v>311282</v>
      </c>
      <c r="E24" s="3">
        <f>C24</f>
        <v>311282</v>
      </c>
      <c r="F24" s="3">
        <f>E24</f>
        <v>311282</v>
      </c>
      <c r="G24" s="13"/>
      <c r="H24" s="3">
        <f t="shared" si="8"/>
        <v>31128.2</v>
      </c>
      <c r="I24" s="3">
        <f t="shared" si="8"/>
        <v>31128.2</v>
      </c>
      <c r="J24" s="3">
        <f t="shared" si="8"/>
        <v>31128.2</v>
      </c>
      <c r="K24" s="3">
        <f t="shared" si="8"/>
        <v>31128.2</v>
      </c>
      <c r="L24" s="13"/>
      <c r="M24" s="13"/>
      <c r="N24" s="13" t="s">
        <v>31</v>
      </c>
      <c r="O24" s="3"/>
      <c r="P24" s="3">
        <v>75000</v>
      </c>
      <c r="Q24" s="3">
        <v>75000</v>
      </c>
    </row>
    <row r="25" spans="1:17" x14ac:dyDescent="0.25">
      <c r="A25" s="13"/>
      <c r="B25" s="13" t="s">
        <v>27</v>
      </c>
      <c r="C25" s="3">
        <f>1423579+8219276</f>
        <v>9642855</v>
      </c>
      <c r="D25" s="13"/>
      <c r="E25" s="3">
        <v>0</v>
      </c>
      <c r="F25" s="3">
        <v>0</v>
      </c>
      <c r="G25" s="13"/>
      <c r="H25" s="3">
        <f t="shared" si="8"/>
        <v>964285.5</v>
      </c>
      <c r="I25" s="3">
        <f t="shared" si="8"/>
        <v>0</v>
      </c>
      <c r="J25" s="3">
        <f t="shared" si="8"/>
        <v>0</v>
      </c>
      <c r="K25" s="3">
        <f t="shared" si="8"/>
        <v>0</v>
      </c>
      <c r="L25" s="13"/>
      <c r="M25" s="13"/>
      <c r="N25" s="13" t="s">
        <v>27</v>
      </c>
      <c r="O25" s="3"/>
      <c r="P25" s="3">
        <f>P17*0.8+1%*P17*0.8*15</f>
        <v>602600</v>
      </c>
      <c r="Q25" s="3">
        <f t="shared" si="9"/>
        <v>0</v>
      </c>
    </row>
    <row r="26" spans="1:17" x14ac:dyDescent="0.25">
      <c r="A26" s="13"/>
      <c r="B26" s="13" t="s">
        <v>29</v>
      </c>
      <c r="C26" s="3">
        <f>110813+629000+554065+1000000+1501033</f>
        <v>3794911</v>
      </c>
      <c r="D26" s="13">
        <v>0</v>
      </c>
      <c r="E26" s="3">
        <f>110813+554065+1501033</f>
        <v>2165911</v>
      </c>
      <c r="F26" s="3">
        <f>C26</f>
        <v>3794911</v>
      </c>
      <c r="G26" s="13"/>
      <c r="H26" s="3">
        <f t="shared" si="8"/>
        <v>379491.1</v>
      </c>
      <c r="I26" s="3">
        <f t="shared" si="8"/>
        <v>0</v>
      </c>
      <c r="J26" s="3">
        <f t="shared" si="8"/>
        <v>216591.1</v>
      </c>
      <c r="K26" s="3">
        <f t="shared" si="8"/>
        <v>379491.1</v>
      </c>
      <c r="L26" s="13"/>
      <c r="M26" s="13"/>
      <c r="N26" s="13" t="s">
        <v>29</v>
      </c>
      <c r="O26" s="3"/>
      <c r="P26" s="3">
        <f>(P17/2)*0.2*0.09*15</f>
        <v>88425</v>
      </c>
      <c r="Q26" s="3">
        <v>88425</v>
      </c>
    </row>
    <row r="27" spans="1:17" x14ac:dyDescent="0.25">
      <c r="A27" s="13"/>
      <c r="B27" s="13"/>
      <c r="C27" s="4">
        <f>SUM(C20:C26)</f>
        <v>18075412</v>
      </c>
      <c r="D27" s="4">
        <f>SUM(D20:D26)</f>
        <v>1175953</v>
      </c>
      <c r="E27" s="4">
        <f>SUM(E20:E26)</f>
        <v>3774199</v>
      </c>
      <c r="F27" s="4">
        <f>SUM(F20:F26)</f>
        <v>7510884</v>
      </c>
      <c r="G27" s="13"/>
      <c r="H27" s="4">
        <f t="shared" si="8"/>
        <v>1807541.2</v>
      </c>
      <c r="I27" s="4">
        <f t="shared" si="8"/>
        <v>117595.3</v>
      </c>
      <c r="J27" s="4">
        <f t="shared" si="8"/>
        <v>377419.9</v>
      </c>
      <c r="K27" s="4">
        <f t="shared" si="8"/>
        <v>751088.4</v>
      </c>
      <c r="L27" s="13"/>
      <c r="M27" s="13"/>
      <c r="N27" s="13"/>
      <c r="O27" s="4"/>
      <c r="P27" s="4">
        <f>SUM(P20:P26)</f>
        <v>1156025</v>
      </c>
      <c r="Q27" s="4">
        <f>SUM(Q20:Q26)</f>
        <v>303425</v>
      </c>
    </row>
    <row r="28" spans="1:17" x14ac:dyDescent="0.25">
      <c r="A28" s="13"/>
      <c r="B28" s="9" t="s">
        <v>25</v>
      </c>
      <c r="C28" s="13"/>
      <c r="D28" s="17">
        <f>D27/$C27</f>
        <v>6.5058157457213148E-2</v>
      </c>
      <c r="E28" s="17">
        <f>E27/$C27</f>
        <v>0.20880293074370865</v>
      </c>
      <c r="F28" s="17">
        <f>F27/$C27</f>
        <v>0.41553044544710793</v>
      </c>
      <c r="G28" s="13"/>
      <c r="H28" s="13"/>
      <c r="I28" s="17">
        <f>D28</f>
        <v>6.5058157457213148E-2</v>
      </c>
      <c r="J28" s="17">
        <f>E28</f>
        <v>0.20880293074370865</v>
      </c>
      <c r="K28" s="17">
        <f>F28</f>
        <v>0.41553044544710793</v>
      </c>
      <c r="L28" s="13"/>
      <c r="M28" s="13"/>
      <c r="N28" s="9" t="s">
        <v>25</v>
      </c>
      <c r="O28" s="17"/>
      <c r="P28" s="17"/>
      <c r="Q28" s="17">
        <f>Q27/P27</f>
        <v>0.26247269738976231</v>
      </c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x14ac:dyDescent="0.25">
      <c r="A30" s="13"/>
      <c r="B30" s="2" t="s">
        <v>0</v>
      </c>
      <c r="C30" s="8">
        <f>C8+C11+C17+C27</f>
        <v>28376597</v>
      </c>
      <c r="D30" s="8">
        <f>D8+D11+D17+D27</f>
        <v>1184253</v>
      </c>
      <c r="E30" s="8">
        <f>E8+E11+E17+E27</f>
        <v>3907547</v>
      </c>
      <c r="F30" s="8">
        <f>F8+F11+F17+F27</f>
        <v>10124988</v>
      </c>
      <c r="G30" s="13"/>
      <c r="H30" s="18">
        <f t="shared" ref="H30:K30" si="10">C30/10</f>
        <v>2837659.7</v>
      </c>
      <c r="I30" s="18">
        <f t="shared" si="10"/>
        <v>118425.3</v>
      </c>
      <c r="J30" s="18">
        <f t="shared" si="10"/>
        <v>390754.7</v>
      </c>
      <c r="K30" s="18">
        <f t="shared" si="10"/>
        <v>1012498.8</v>
      </c>
      <c r="L30" s="13"/>
      <c r="M30" s="13"/>
      <c r="N30" s="2" t="s">
        <v>0</v>
      </c>
      <c r="O30" s="18"/>
      <c r="P30" s="8">
        <f>P8+P11+P17+P27</f>
        <v>1821275</v>
      </c>
      <c r="Q30" s="8">
        <f>Q8+Q11+Q17+Q27</f>
        <v>363675</v>
      </c>
    </row>
    <row r="31" spans="1:17" x14ac:dyDescent="0.25">
      <c r="A31" s="13"/>
      <c r="B31" s="9" t="s">
        <v>25</v>
      </c>
      <c r="C31" s="3"/>
      <c r="D31" s="17">
        <f>D30/$C30</f>
        <v>4.1733439707375766E-2</v>
      </c>
      <c r="E31" s="17">
        <f>E30/$C30</f>
        <v>0.13770315728838098</v>
      </c>
      <c r="F31" s="17">
        <f>F30/$C30</f>
        <v>0.35680768909675814</v>
      </c>
      <c r="G31" s="13"/>
      <c r="H31" s="13"/>
      <c r="I31" s="17">
        <f>D31</f>
        <v>4.1733439707375766E-2</v>
      </c>
      <c r="J31" s="17">
        <f>E31</f>
        <v>0.13770315728838098</v>
      </c>
      <c r="K31" s="17">
        <f>F31</f>
        <v>0.35680768909675814</v>
      </c>
      <c r="L31" s="13"/>
      <c r="M31" s="13"/>
      <c r="N31" s="9" t="s">
        <v>25</v>
      </c>
      <c r="O31" s="17"/>
      <c r="P31" s="17"/>
      <c r="Q31" s="17">
        <f>Q30/P30</f>
        <v>0.1996815417770518</v>
      </c>
    </row>
    <row r="32" spans="1:17" x14ac:dyDescent="0.25">
      <c r="A32" s="13"/>
      <c r="B32" s="13"/>
      <c r="C32" s="13"/>
      <c r="D32" s="13"/>
      <c r="E32" s="13"/>
      <c r="F32" s="13"/>
      <c r="G32" s="13"/>
      <c r="H32" s="5"/>
      <c r="I32" s="5"/>
      <c r="J32" s="5"/>
      <c r="K32" s="13"/>
      <c r="L32" s="13"/>
      <c r="M32" s="13"/>
      <c r="N32" s="5"/>
      <c r="O32" s="5"/>
      <c r="P32" s="5"/>
      <c r="Q32" s="13"/>
    </row>
    <row r="33" spans="1:17" x14ac:dyDescent="0.25">
      <c r="A33" s="13"/>
      <c r="B33" s="13" t="s">
        <v>32</v>
      </c>
      <c r="C33" s="3">
        <v>11597018</v>
      </c>
      <c r="D33" s="13"/>
      <c r="E33" s="13"/>
      <c r="F33" s="13"/>
      <c r="G33" s="13"/>
      <c r="H33" s="5">
        <f>C33/10</f>
        <v>1159701.8</v>
      </c>
      <c r="I33" s="5"/>
      <c r="J33" s="5"/>
      <c r="K33" s="13"/>
      <c r="L33" s="13"/>
      <c r="M33" s="13"/>
      <c r="N33" s="5">
        <f>I33/10</f>
        <v>0</v>
      </c>
      <c r="O33" s="5"/>
      <c r="P33" s="5"/>
      <c r="Q33" s="13"/>
    </row>
    <row r="34" spans="1:17" x14ac:dyDescent="0.25">
      <c r="A34" s="13"/>
      <c r="B34" s="13" t="s">
        <v>28</v>
      </c>
      <c r="C34" s="3">
        <v>386208</v>
      </c>
      <c r="D34" s="13"/>
      <c r="E34" s="13"/>
      <c r="F34" s="13"/>
      <c r="G34" s="13"/>
      <c r="H34" s="5">
        <f t="shared" ref="H34:H35" si="11">C34/10</f>
        <v>38620.800000000003</v>
      </c>
      <c r="I34" s="5"/>
      <c r="J34" s="5"/>
      <c r="K34" s="13"/>
      <c r="L34" s="13"/>
      <c r="M34" s="13"/>
      <c r="N34" s="5">
        <f t="shared" ref="N34:N35" si="12">I34/10</f>
        <v>0</v>
      </c>
      <c r="O34" s="5"/>
      <c r="P34" s="5"/>
      <c r="Q34" s="13"/>
    </row>
    <row r="35" spans="1:17" x14ac:dyDescent="0.25">
      <c r="A35" s="13"/>
      <c r="B35" s="13" t="s">
        <v>30</v>
      </c>
      <c r="C35" s="3">
        <f>C33-C34</f>
        <v>11210810</v>
      </c>
      <c r="D35" s="13"/>
      <c r="E35" s="13"/>
      <c r="F35" s="13"/>
      <c r="G35" s="13"/>
      <c r="H35" s="5">
        <f t="shared" si="11"/>
        <v>1121081</v>
      </c>
      <c r="I35" s="5"/>
      <c r="J35" s="5"/>
      <c r="K35" s="13"/>
      <c r="L35" s="13"/>
      <c r="M35" s="13"/>
      <c r="N35" s="5">
        <f t="shared" si="12"/>
        <v>0</v>
      </c>
      <c r="O35" s="5"/>
      <c r="P35" s="5"/>
      <c r="Q35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CF970-8AFA-9E4B-B2E8-77AF30B07A3A}">
  <dimension ref="A1:M35"/>
  <sheetViews>
    <sheetView workbookViewId="0">
      <selection activeCell="M33" sqref="M33"/>
    </sheetView>
  </sheetViews>
  <sheetFormatPr defaultColWidth="11.5546875" defaultRowHeight="13.2" x14ac:dyDescent="0.25"/>
  <cols>
    <col min="10" max="10" width="12.6640625" customWidth="1"/>
    <col min="11" max="11" width="13" customWidth="1"/>
    <col min="12" max="12" width="12" customWidth="1"/>
    <col min="13" max="13" width="11.44140625" customWidth="1"/>
  </cols>
  <sheetData>
    <row r="1" spans="1:13" x14ac:dyDescent="0.25">
      <c r="A1" s="13"/>
      <c r="B1" s="13"/>
      <c r="C1" s="13"/>
      <c r="D1" s="14" t="s">
        <v>24</v>
      </c>
      <c r="E1" s="14" t="s">
        <v>44</v>
      </c>
      <c r="F1" s="14" t="s">
        <v>23</v>
      </c>
      <c r="H1" s="14" t="s">
        <v>47</v>
      </c>
      <c r="I1" s="13"/>
      <c r="J1" s="13"/>
      <c r="K1" s="14" t="s">
        <v>24</v>
      </c>
      <c r="L1" s="14" t="s">
        <v>44</v>
      </c>
      <c r="M1" s="14" t="s">
        <v>23</v>
      </c>
    </row>
    <row r="2" spans="1:13" x14ac:dyDescent="0.25">
      <c r="A2" s="13" t="s">
        <v>2</v>
      </c>
      <c r="B2" s="16" t="s">
        <v>13</v>
      </c>
      <c r="C2" s="3"/>
      <c r="D2" s="3">
        <v>0</v>
      </c>
      <c r="E2" s="3">
        <f>F2</f>
        <v>0</v>
      </c>
      <c r="F2" s="3">
        <f>C2</f>
        <v>0</v>
      </c>
      <c r="H2" s="13" t="s">
        <v>2</v>
      </c>
      <c r="I2" s="16" t="s">
        <v>13</v>
      </c>
      <c r="J2" s="3"/>
      <c r="K2" s="3">
        <v>0</v>
      </c>
      <c r="L2" s="3">
        <f>M2</f>
        <v>0</v>
      </c>
      <c r="M2" s="3">
        <f>J2</f>
        <v>0</v>
      </c>
    </row>
    <row r="3" spans="1:13" x14ac:dyDescent="0.25">
      <c r="A3" s="13"/>
      <c r="B3" s="16" t="s">
        <v>3</v>
      </c>
      <c r="C3" s="3">
        <v>0</v>
      </c>
      <c r="D3" s="3">
        <v>0</v>
      </c>
      <c r="E3" s="3">
        <v>0</v>
      </c>
      <c r="F3" s="3">
        <v>0</v>
      </c>
      <c r="H3" s="13"/>
      <c r="I3" s="16" t="s">
        <v>3</v>
      </c>
      <c r="J3" s="3">
        <f>C3*12.5</f>
        <v>0</v>
      </c>
      <c r="K3" s="3">
        <f t="shared" ref="K3:K7" si="0">D3*12.5</f>
        <v>0</v>
      </c>
      <c r="L3" s="3">
        <f t="shared" ref="L3:L7" si="1">E3*12.5</f>
        <v>0</v>
      </c>
      <c r="M3" s="3">
        <f t="shared" ref="M3:M7" si="2">F3*12.5</f>
        <v>0</v>
      </c>
    </row>
    <row r="4" spans="1:13" x14ac:dyDescent="0.25">
      <c r="A4" s="13"/>
      <c r="B4" s="16" t="s">
        <v>11</v>
      </c>
      <c r="C4" s="3">
        <f>D4</f>
        <v>0</v>
      </c>
      <c r="D4" s="3"/>
      <c r="E4" s="3">
        <f>F4</f>
        <v>0</v>
      </c>
      <c r="F4" s="3">
        <f>C4</f>
        <v>0</v>
      </c>
      <c r="H4" s="13"/>
      <c r="I4" s="16" t="s">
        <v>11</v>
      </c>
      <c r="J4" s="3">
        <f t="shared" ref="J4:J7" si="3">C4*12.5</f>
        <v>0</v>
      </c>
      <c r="K4" s="3">
        <f t="shared" si="0"/>
        <v>0</v>
      </c>
      <c r="L4" s="3">
        <f t="shared" si="1"/>
        <v>0</v>
      </c>
      <c r="M4" s="3">
        <f t="shared" si="2"/>
        <v>0</v>
      </c>
    </row>
    <row r="5" spans="1:13" x14ac:dyDescent="0.25">
      <c r="A5" s="13"/>
      <c r="B5" s="16" t="s">
        <v>14</v>
      </c>
      <c r="C5" s="3">
        <v>0</v>
      </c>
      <c r="D5" s="3"/>
      <c r="E5" s="3">
        <f>F5</f>
        <v>0</v>
      </c>
      <c r="F5" s="3">
        <v>0</v>
      </c>
      <c r="H5" s="13"/>
      <c r="I5" s="16" t="s">
        <v>14</v>
      </c>
      <c r="J5" s="3">
        <f t="shared" si="3"/>
        <v>0</v>
      </c>
      <c r="K5" s="3">
        <f t="shared" si="0"/>
        <v>0</v>
      </c>
      <c r="L5" s="3">
        <f t="shared" si="1"/>
        <v>0</v>
      </c>
      <c r="M5" s="3">
        <f t="shared" si="2"/>
        <v>0</v>
      </c>
    </row>
    <row r="6" spans="1:13" x14ac:dyDescent="0.25">
      <c r="A6" s="13"/>
      <c r="B6" s="16" t="s">
        <v>45</v>
      </c>
      <c r="C6" s="3">
        <v>1312.5</v>
      </c>
      <c r="D6" s="3"/>
      <c r="E6" s="3">
        <v>1313</v>
      </c>
      <c r="F6" s="3">
        <f>C6</f>
        <v>1312.5</v>
      </c>
      <c r="H6" s="13"/>
      <c r="I6" s="16" t="s">
        <v>45</v>
      </c>
      <c r="J6" s="3">
        <f t="shared" si="3"/>
        <v>16406.25</v>
      </c>
      <c r="K6" s="3">
        <f t="shared" si="0"/>
        <v>0</v>
      </c>
      <c r="L6" s="3">
        <f t="shared" si="1"/>
        <v>16412.5</v>
      </c>
      <c r="M6" s="3">
        <f t="shared" si="2"/>
        <v>16406.25</v>
      </c>
    </row>
    <row r="7" spans="1:13" x14ac:dyDescent="0.25">
      <c r="A7" s="13"/>
      <c r="B7" s="16" t="s">
        <v>19</v>
      </c>
      <c r="C7" s="3">
        <v>0</v>
      </c>
      <c r="D7" s="3"/>
      <c r="E7" s="3">
        <v>0</v>
      </c>
      <c r="F7" s="3">
        <v>0</v>
      </c>
      <c r="H7" s="13"/>
      <c r="I7" s="16" t="s">
        <v>19</v>
      </c>
      <c r="J7" s="3">
        <f t="shared" si="3"/>
        <v>0</v>
      </c>
      <c r="K7" s="3">
        <f t="shared" si="0"/>
        <v>0</v>
      </c>
      <c r="L7" s="3">
        <f t="shared" si="1"/>
        <v>0</v>
      </c>
      <c r="M7" s="3">
        <f t="shared" si="2"/>
        <v>0</v>
      </c>
    </row>
    <row r="8" spans="1:13" x14ac:dyDescent="0.25">
      <c r="A8" s="13"/>
      <c r="B8" s="13"/>
      <c r="C8" s="4">
        <f>SUM(C2:C7)</f>
        <v>1312.5</v>
      </c>
      <c r="D8" s="4">
        <f>SUM(D2:D7)</f>
        <v>0</v>
      </c>
      <c r="E8" s="4">
        <f>SUM(E2:E7)</f>
        <v>1313</v>
      </c>
      <c r="F8" s="4">
        <f>SUM(F2:F7)</f>
        <v>1312.5</v>
      </c>
      <c r="H8" s="13"/>
      <c r="I8" s="13"/>
      <c r="J8" s="4">
        <f>SUM(J2:J7)</f>
        <v>16406.25</v>
      </c>
      <c r="K8" s="4">
        <f>SUM(K2:K7)</f>
        <v>0</v>
      </c>
      <c r="L8" s="4">
        <f>SUM(L2:L7)</f>
        <v>16412.5</v>
      </c>
      <c r="M8" s="4">
        <f>SUM(M2:M7)</f>
        <v>16406.25</v>
      </c>
    </row>
    <row r="9" spans="1:13" x14ac:dyDescent="0.25">
      <c r="A9" s="13"/>
      <c r="B9" s="9" t="s">
        <v>25</v>
      </c>
      <c r="C9" s="13"/>
      <c r="D9" s="17">
        <f>D8/$C8</f>
        <v>0</v>
      </c>
      <c r="E9" s="17">
        <f>E8/$C8</f>
        <v>1.0003809523809524</v>
      </c>
      <c r="F9" s="17">
        <f>F8/$C8</f>
        <v>1</v>
      </c>
      <c r="H9" s="13"/>
      <c r="I9" s="9" t="s">
        <v>25</v>
      </c>
      <c r="J9" s="13"/>
      <c r="K9" s="17">
        <f>K8/$C8</f>
        <v>0</v>
      </c>
      <c r="L9" s="17">
        <f>L8/$C8</f>
        <v>12.504761904761905</v>
      </c>
      <c r="M9" s="17">
        <f>M8/$C8</f>
        <v>12.5</v>
      </c>
    </row>
    <row r="10" spans="1:13" x14ac:dyDescent="0.25">
      <c r="A10" s="13"/>
      <c r="B10" s="13"/>
      <c r="C10" s="13"/>
      <c r="D10" s="13"/>
      <c r="E10" s="13"/>
      <c r="F10" s="13"/>
      <c r="H10" s="13"/>
      <c r="I10" s="13"/>
      <c r="J10" s="13"/>
      <c r="K10" s="13"/>
      <c r="L10" s="13"/>
      <c r="M10" s="13"/>
    </row>
    <row r="11" spans="1:13" x14ac:dyDescent="0.25">
      <c r="A11" s="13"/>
      <c r="B11" s="13" t="s">
        <v>4</v>
      </c>
      <c r="C11" s="3"/>
      <c r="D11" s="3">
        <v>0</v>
      </c>
      <c r="E11" s="3">
        <v>0</v>
      </c>
      <c r="F11" s="3">
        <f>C11</f>
        <v>0</v>
      </c>
      <c r="H11" s="13"/>
      <c r="I11" s="13" t="s">
        <v>4</v>
      </c>
      <c r="J11" s="3"/>
      <c r="K11" s="3">
        <v>0</v>
      </c>
      <c r="L11" s="3">
        <v>0</v>
      </c>
      <c r="M11" s="3">
        <f>J11</f>
        <v>0</v>
      </c>
    </row>
    <row r="12" spans="1:13" x14ac:dyDescent="0.25">
      <c r="A12" s="13"/>
      <c r="B12" s="13"/>
      <c r="C12" s="13"/>
      <c r="D12" s="13"/>
      <c r="E12" s="13"/>
      <c r="F12" s="13"/>
      <c r="H12" s="13"/>
      <c r="I12" s="13"/>
      <c r="J12" s="13"/>
      <c r="K12" s="13"/>
      <c r="L12" s="13"/>
      <c r="M12" s="13"/>
    </row>
    <row r="13" spans="1:13" x14ac:dyDescent="0.25">
      <c r="A13" s="13" t="s">
        <v>17</v>
      </c>
      <c r="B13" s="13" t="s">
        <v>42</v>
      </c>
      <c r="C13" s="3">
        <v>57500</v>
      </c>
      <c r="D13" s="13"/>
      <c r="E13" s="3">
        <v>0</v>
      </c>
      <c r="F13" s="3">
        <v>57500</v>
      </c>
      <c r="H13" s="13" t="s">
        <v>17</v>
      </c>
      <c r="I13" s="13" t="s">
        <v>42</v>
      </c>
      <c r="J13" s="3">
        <f t="shared" ref="J13:J16" si="4">C13*12.5</f>
        <v>718750</v>
      </c>
      <c r="K13" s="3">
        <f t="shared" ref="K13:K16" si="5">D13*12.5</f>
        <v>0</v>
      </c>
      <c r="L13" s="3">
        <f t="shared" ref="L13:L16" si="6">E13*12.5</f>
        <v>0</v>
      </c>
      <c r="M13" s="3">
        <f t="shared" ref="M13:M16" si="7">F13*12.5</f>
        <v>718750</v>
      </c>
    </row>
    <row r="14" spans="1:13" x14ac:dyDescent="0.25">
      <c r="A14" s="13"/>
      <c r="B14" s="13" t="s">
        <v>20</v>
      </c>
      <c r="C14" s="3">
        <v>235</v>
      </c>
      <c r="D14" s="13"/>
      <c r="E14" s="3"/>
      <c r="F14" s="3">
        <v>0</v>
      </c>
      <c r="H14" s="13"/>
      <c r="I14" s="13" t="s">
        <v>20</v>
      </c>
      <c r="J14" s="3">
        <f t="shared" si="4"/>
        <v>2937.5</v>
      </c>
      <c r="K14" s="3">
        <f t="shared" si="5"/>
        <v>0</v>
      </c>
      <c r="L14" s="3">
        <f t="shared" si="6"/>
        <v>0</v>
      </c>
      <c r="M14" s="3">
        <f t="shared" si="7"/>
        <v>0</v>
      </c>
    </row>
    <row r="15" spans="1:13" x14ac:dyDescent="0.25">
      <c r="A15" s="13"/>
      <c r="B15" s="13" t="s">
        <v>21</v>
      </c>
      <c r="C15" s="3">
        <v>0</v>
      </c>
      <c r="D15" s="13"/>
      <c r="E15" s="3">
        <v>0</v>
      </c>
      <c r="F15" s="3">
        <f>40%*C15</f>
        <v>0</v>
      </c>
      <c r="H15" s="13"/>
      <c r="I15" s="13" t="s">
        <v>21</v>
      </c>
      <c r="J15" s="3">
        <f t="shared" si="4"/>
        <v>0</v>
      </c>
      <c r="K15" s="3">
        <f t="shared" si="5"/>
        <v>0</v>
      </c>
      <c r="L15" s="3">
        <f t="shared" si="6"/>
        <v>0</v>
      </c>
      <c r="M15" s="3">
        <f t="shared" si="7"/>
        <v>0</v>
      </c>
    </row>
    <row r="16" spans="1:13" x14ac:dyDescent="0.25">
      <c r="A16" s="13"/>
      <c r="B16" s="13" t="s">
        <v>1</v>
      </c>
      <c r="C16" s="3">
        <v>0</v>
      </c>
      <c r="D16" s="13"/>
      <c r="E16" s="3"/>
      <c r="F16" s="3">
        <f t="shared" ref="F16" si="8">80%*C16</f>
        <v>0</v>
      </c>
      <c r="H16" s="13"/>
      <c r="I16" s="13" t="s">
        <v>1</v>
      </c>
      <c r="J16" s="3">
        <f t="shared" si="4"/>
        <v>0</v>
      </c>
      <c r="K16" s="3">
        <f t="shared" si="5"/>
        <v>0</v>
      </c>
      <c r="L16" s="3">
        <f t="shared" si="6"/>
        <v>0</v>
      </c>
      <c r="M16" s="3">
        <f t="shared" si="7"/>
        <v>0</v>
      </c>
    </row>
    <row r="17" spans="1:13" x14ac:dyDescent="0.25">
      <c r="A17" s="13"/>
      <c r="B17" s="13"/>
      <c r="C17" s="4">
        <f>SUM(C13:C16)</f>
        <v>57735</v>
      </c>
      <c r="D17" s="4"/>
      <c r="E17" s="4">
        <f>SUM(E13:E16)</f>
        <v>0</v>
      </c>
      <c r="F17" s="4">
        <f>SUM(F13:F16)</f>
        <v>57500</v>
      </c>
      <c r="H17" s="13"/>
      <c r="I17" s="13"/>
      <c r="J17" s="4">
        <f>SUM(J13:J16)</f>
        <v>721687.5</v>
      </c>
      <c r="K17" s="4"/>
      <c r="L17" s="4">
        <f>SUM(L13:L16)</f>
        <v>0</v>
      </c>
      <c r="M17" s="4">
        <f>SUM(M13:M16)</f>
        <v>718750</v>
      </c>
    </row>
    <row r="18" spans="1:13" x14ac:dyDescent="0.25">
      <c r="A18" s="13"/>
      <c r="B18" s="9" t="s">
        <v>25</v>
      </c>
      <c r="C18" s="13"/>
      <c r="D18" s="17">
        <f>D17/$C17</f>
        <v>0</v>
      </c>
      <c r="E18" s="17">
        <f>E17/$C17</f>
        <v>0</v>
      </c>
      <c r="F18" s="17">
        <f>F17/$C17</f>
        <v>0.99592967870442539</v>
      </c>
      <c r="H18" s="13"/>
      <c r="I18" s="9" t="s">
        <v>25</v>
      </c>
      <c r="J18" s="13"/>
      <c r="K18" s="17">
        <f>K17/$C17</f>
        <v>0</v>
      </c>
      <c r="L18" s="17">
        <f>L17/$C17</f>
        <v>0</v>
      </c>
      <c r="M18" s="17">
        <f>M17/$C17</f>
        <v>12.449120983805317</v>
      </c>
    </row>
    <row r="19" spans="1:13" x14ac:dyDescent="0.25">
      <c r="A19" s="13"/>
      <c r="B19" s="13"/>
      <c r="C19" s="13"/>
      <c r="D19" s="13"/>
      <c r="E19" s="13"/>
      <c r="F19" s="13"/>
      <c r="H19" s="13"/>
      <c r="I19" s="13"/>
      <c r="J19" s="13"/>
      <c r="K19" s="13"/>
      <c r="L19" s="13"/>
      <c r="M19" s="13"/>
    </row>
    <row r="20" spans="1:13" x14ac:dyDescent="0.25">
      <c r="A20" s="13" t="s">
        <v>6</v>
      </c>
      <c r="B20" s="13" t="s">
        <v>9</v>
      </c>
      <c r="C20" s="3">
        <v>9832.5</v>
      </c>
      <c r="D20" s="13"/>
      <c r="E20" s="3">
        <v>0</v>
      </c>
      <c r="F20" s="3">
        <v>9833</v>
      </c>
      <c r="H20" s="13" t="s">
        <v>6</v>
      </c>
      <c r="I20" s="13" t="s">
        <v>9</v>
      </c>
      <c r="J20" s="3">
        <f t="shared" ref="J20:J26" si="9">C20*12.5</f>
        <v>122906.25</v>
      </c>
      <c r="K20" s="3">
        <f t="shared" ref="K20:K26" si="10">D20*12.5</f>
        <v>0</v>
      </c>
      <c r="L20" s="3">
        <f t="shared" ref="L20:L26" si="11">E20*12.5</f>
        <v>0</v>
      </c>
      <c r="M20" s="3">
        <f t="shared" ref="M20:M26" si="12">F20*12.5</f>
        <v>122912.5</v>
      </c>
    </row>
    <row r="21" spans="1:13" x14ac:dyDescent="0.25">
      <c r="A21" s="13" t="s">
        <v>26</v>
      </c>
      <c r="B21" s="13" t="s">
        <v>12</v>
      </c>
      <c r="C21" s="3">
        <v>1917.34</v>
      </c>
      <c r="D21" s="13"/>
      <c r="E21" s="3">
        <v>0</v>
      </c>
      <c r="F21" s="3">
        <v>0</v>
      </c>
      <c r="H21" s="13" t="s">
        <v>26</v>
      </c>
      <c r="I21" s="13" t="s">
        <v>12</v>
      </c>
      <c r="J21" s="3">
        <f t="shared" si="9"/>
        <v>23966.75</v>
      </c>
      <c r="K21" s="3">
        <f t="shared" si="10"/>
        <v>0</v>
      </c>
      <c r="L21" s="3">
        <f t="shared" si="11"/>
        <v>0</v>
      </c>
      <c r="M21" s="3">
        <f t="shared" si="12"/>
        <v>0</v>
      </c>
    </row>
    <row r="22" spans="1:13" x14ac:dyDescent="0.25">
      <c r="A22" s="13"/>
      <c r="B22" s="13" t="s">
        <v>33</v>
      </c>
      <c r="C22" s="3">
        <v>0</v>
      </c>
      <c r="D22" s="13">
        <v>0</v>
      </c>
      <c r="E22" s="3">
        <f>C22</f>
        <v>0</v>
      </c>
      <c r="F22" s="3">
        <f>E22</f>
        <v>0</v>
      </c>
      <c r="H22" s="13"/>
      <c r="I22" s="13" t="s">
        <v>33</v>
      </c>
      <c r="J22" s="3">
        <f t="shared" si="9"/>
        <v>0</v>
      </c>
      <c r="K22" s="3">
        <f t="shared" si="10"/>
        <v>0</v>
      </c>
      <c r="L22" s="3">
        <f t="shared" si="11"/>
        <v>0</v>
      </c>
      <c r="M22" s="3">
        <f t="shared" si="12"/>
        <v>0</v>
      </c>
    </row>
    <row r="23" spans="1:13" x14ac:dyDescent="0.25">
      <c r="A23" s="13"/>
      <c r="B23" s="13" t="s">
        <v>10</v>
      </c>
      <c r="C23" s="3">
        <v>0</v>
      </c>
      <c r="D23" s="13"/>
      <c r="E23" s="3">
        <v>0</v>
      </c>
      <c r="F23" s="3">
        <f>C23*80%</f>
        <v>0</v>
      </c>
      <c r="H23" s="13"/>
      <c r="I23" s="13" t="s">
        <v>10</v>
      </c>
      <c r="J23" s="3">
        <f t="shared" si="9"/>
        <v>0</v>
      </c>
      <c r="K23" s="3">
        <f t="shared" si="10"/>
        <v>0</v>
      </c>
      <c r="L23" s="3">
        <f t="shared" si="11"/>
        <v>0</v>
      </c>
      <c r="M23" s="3">
        <f t="shared" si="12"/>
        <v>0</v>
      </c>
    </row>
    <row r="24" spans="1:13" x14ac:dyDescent="0.25">
      <c r="A24" s="13"/>
      <c r="B24" s="13" t="s">
        <v>31</v>
      </c>
      <c r="C24" s="3">
        <v>6066.23</v>
      </c>
      <c r="D24" s="13">
        <v>6066</v>
      </c>
      <c r="E24" s="3">
        <f>C24</f>
        <v>6066.23</v>
      </c>
      <c r="F24" s="3">
        <f>E24</f>
        <v>6066.23</v>
      </c>
      <c r="H24" s="13"/>
      <c r="I24" s="13" t="s">
        <v>31</v>
      </c>
      <c r="J24" s="3">
        <f t="shared" si="9"/>
        <v>75827.875</v>
      </c>
      <c r="K24" s="3">
        <f t="shared" si="10"/>
        <v>75825</v>
      </c>
      <c r="L24" s="3">
        <f t="shared" si="11"/>
        <v>75827.875</v>
      </c>
      <c r="M24" s="3">
        <f t="shared" si="12"/>
        <v>75827.875</v>
      </c>
    </row>
    <row r="25" spans="1:13" x14ac:dyDescent="0.25">
      <c r="A25" s="13"/>
      <c r="B25" s="13" t="s">
        <v>27</v>
      </c>
      <c r="C25" s="3">
        <v>0</v>
      </c>
      <c r="D25" s="13"/>
      <c r="E25" s="3">
        <v>0</v>
      </c>
      <c r="F25" s="3">
        <v>0</v>
      </c>
      <c r="H25" s="13"/>
      <c r="I25" s="13" t="s">
        <v>27</v>
      </c>
      <c r="J25" s="3">
        <f t="shared" si="9"/>
        <v>0</v>
      </c>
      <c r="K25" s="3">
        <f t="shared" si="10"/>
        <v>0</v>
      </c>
      <c r="L25" s="3">
        <f t="shared" si="11"/>
        <v>0</v>
      </c>
      <c r="M25" s="3">
        <f t="shared" si="12"/>
        <v>0</v>
      </c>
    </row>
    <row r="26" spans="1:13" x14ac:dyDescent="0.25">
      <c r="A26" s="13"/>
      <c r="B26" s="13" t="s">
        <v>29</v>
      </c>
      <c r="C26" s="3">
        <v>94590.31</v>
      </c>
      <c r="D26" s="13">
        <v>94590</v>
      </c>
      <c r="E26" s="3">
        <v>94590</v>
      </c>
      <c r="F26" s="3">
        <f>C26</f>
        <v>94590.31</v>
      </c>
      <c r="H26" s="13"/>
      <c r="I26" s="13" t="s">
        <v>29</v>
      </c>
      <c r="J26" s="3">
        <f t="shared" si="9"/>
        <v>1182378.875</v>
      </c>
      <c r="K26" s="3">
        <f t="shared" si="10"/>
        <v>1182375</v>
      </c>
      <c r="L26" s="3">
        <f t="shared" si="11"/>
        <v>1182375</v>
      </c>
      <c r="M26" s="3">
        <f t="shared" si="12"/>
        <v>1182378.875</v>
      </c>
    </row>
    <row r="27" spans="1:13" x14ac:dyDescent="0.25">
      <c r="A27" s="13"/>
      <c r="B27" s="13"/>
      <c r="C27" s="4">
        <f>SUM(C20:C26)</f>
        <v>112406.38</v>
      </c>
      <c r="D27" s="4">
        <f>SUM(D20:D26)</f>
        <v>100656</v>
      </c>
      <c r="E27" s="4">
        <f>SUM(E20:E26)</f>
        <v>100656.23</v>
      </c>
      <c r="F27" s="4">
        <f>SUM(F20:F26)</f>
        <v>110489.54</v>
      </c>
      <c r="H27" s="13"/>
      <c r="I27" s="13"/>
      <c r="J27" s="4">
        <f>SUM(J20:J26)</f>
        <v>1405079.75</v>
      </c>
      <c r="K27" s="4">
        <f>SUM(K20:K26)</f>
        <v>1258200</v>
      </c>
      <c r="L27" s="4">
        <f>SUM(L20:L26)</f>
        <v>1258202.875</v>
      </c>
      <c r="M27" s="4">
        <f>SUM(M20:M26)</f>
        <v>1381119.25</v>
      </c>
    </row>
    <row r="28" spans="1:13" x14ac:dyDescent="0.25">
      <c r="A28" s="13"/>
      <c r="B28" s="9" t="s">
        <v>25</v>
      </c>
      <c r="C28" s="13"/>
      <c r="D28" s="17">
        <f>D27/$C27</f>
        <v>0.89546518622875315</v>
      </c>
      <c r="E28" s="17">
        <f>E27/$C27</f>
        <v>0.89546723237595582</v>
      </c>
      <c r="F28" s="17">
        <f>F27/$C27</f>
        <v>0.98294723128704964</v>
      </c>
      <c r="H28" s="13"/>
      <c r="I28" s="9" t="s">
        <v>25</v>
      </c>
      <c r="J28" s="13"/>
      <c r="K28" s="17">
        <f>K27/$C27</f>
        <v>11.193314827859414</v>
      </c>
      <c r="L28" s="17">
        <f>L27/$C27</f>
        <v>11.193340404699448</v>
      </c>
      <c r="M28" s="17">
        <f>M27/$C27</f>
        <v>12.286840391088122</v>
      </c>
    </row>
    <row r="29" spans="1:13" x14ac:dyDescent="0.25">
      <c r="A29" s="13"/>
      <c r="B29" s="13"/>
      <c r="C29" s="13"/>
      <c r="D29" s="13"/>
      <c r="E29" s="13"/>
      <c r="F29" s="13"/>
      <c r="H29" s="13"/>
      <c r="I29" s="13"/>
      <c r="J29" s="13"/>
      <c r="K29" s="13"/>
      <c r="L29" s="13"/>
      <c r="M29" s="13"/>
    </row>
    <row r="30" spans="1:13" x14ac:dyDescent="0.25">
      <c r="A30" s="13"/>
      <c r="B30" s="2" t="s">
        <v>0</v>
      </c>
      <c r="C30" s="8">
        <f>C8+C11+C17+C27</f>
        <v>171453.88</v>
      </c>
      <c r="D30" s="8">
        <f>D8+D11+D17+D27</f>
        <v>100656</v>
      </c>
      <c r="E30" s="8">
        <f>E8+E11+E17+E27</f>
        <v>101969.23</v>
      </c>
      <c r="F30" s="8">
        <f>F8+F11+F17+F27</f>
        <v>169302.03999999998</v>
      </c>
      <c r="H30" s="13"/>
      <c r="I30" s="2" t="s">
        <v>0</v>
      </c>
      <c r="J30" s="8">
        <f>J8+J11+J17+J27</f>
        <v>2143173.5</v>
      </c>
      <c r="K30" s="8">
        <f>K8+K11+K17+K27</f>
        <v>1258200</v>
      </c>
      <c r="L30" s="8">
        <f>L8+L11+L17+L27</f>
        <v>1274615.375</v>
      </c>
      <c r="M30" s="8">
        <f>M8+M11+M17+M27</f>
        <v>2116275.5</v>
      </c>
    </row>
    <row r="31" spans="1:13" x14ac:dyDescent="0.25">
      <c r="A31" s="13"/>
      <c r="B31" s="9" t="s">
        <v>25</v>
      </c>
      <c r="C31" s="3"/>
      <c r="D31" s="17">
        <f>D30/$C30</f>
        <v>0.58707332840761606</v>
      </c>
      <c r="E31" s="17">
        <f>E30/$C30</f>
        <v>0.59473270596150984</v>
      </c>
      <c r="F31" s="17">
        <f>F30/$C30</f>
        <v>0.98744945287910646</v>
      </c>
      <c r="H31" s="13"/>
      <c r="I31" s="9" t="s">
        <v>25</v>
      </c>
      <c r="J31" s="3"/>
      <c r="K31" s="17">
        <f>K30/$C30</f>
        <v>7.3384166050952011</v>
      </c>
      <c r="L31" s="17">
        <f>L30/$C30</f>
        <v>7.4341588245188737</v>
      </c>
      <c r="M31" s="17">
        <f>M30/$C30</f>
        <v>12.343118160988832</v>
      </c>
    </row>
    <row r="32" spans="1:13" x14ac:dyDescent="0.25">
      <c r="A32" s="13"/>
      <c r="B32" s="13"/>
      <c r="C32" s="13"/>
      <c r="D32" s="13"/>
      <c r="E32" s="13"/>
      <c r="F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 t="s">
        <v>32</v>
      </c>
      <c r="C33" s="3">
        <v>0</v>
      </c>
      <c r="D33" s="13"/>
      <c r="E33" s="13"/>
      <c r="F33" s="13"/>
      <c r="H33" s="13"/>
      <c r="I33" s="13" t="s">
        <v>32</v>
      </c>
      <c r="J33" s="3">
        <v>0</v>
      </c>
      <c r="K33" s="13"/>
      <c r="L33" s="13"/>
      <c r="M33" s="13"/>
    </row>
    <row r="34" spans="1:13" x14ac:dyDescent="0.25">
      <c r="A34" s="13"/>
      <c r="B34" s="13" t="s">
        <v>28</v>
      </c>
      <c r="C34" s="3">
        <v>0</v>
      </c>
      <c r="D34" s="13"/>
      <c r="E34" s="13"/>
      <c r="F34" s="13"/>
      <c r="H34" s="13"/>
      <c r="I34" s="13" t="s">
        <v>28</v>
      </c>
      <c r="J34" s="3">
        <v>0</v>
      </c>
      <c r="K34" s="13"/>
      <c r="L34" s="13"/>
      <c r="M34" s="13"/>
    </row>
    <row r="35" spans="1:13" x14ac:dyDescent="0.25">
      <c r="A35" s="13"/>
      <c r="B35" s="13" t="s">
        <v>30</v>
      </c>
      <c r="C35" s="3">
        <f>C33-C34</f>
        <v>0</v>
      </c>
      <c r="D35" s="13"/>
      <c r="E35" s="13"/>
      <c r="F35" s="13"/>
      <c r="H35" s="13"/>
      <c r="I35" s="13" t="s">
        <v>30</v>
      </c>
      <c r="J35" s="3">
        <f>J33-J34</f>
        <v>0</v>
      </c>
      <c r="K35" s="13"/>
      <c r="L35" s="13"/>
      <c r="M35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BD143-BF05-5A45-BCF6-CF1D8741B961}">
  <dimension ref="A1:L52"/>
  <sheetViews>
    <sheetView topLeftCell="C1" workbookViewId="0">
      <selection activeCell="M20" sqref="M20"/>
    </sheetView>
  </sheetViews>
  <sheetFormatPr defaultColWidth="8.77734375" defaultRowHeight="13.2" x14ac:dyDescent="0.25"/>
  <cols>
    <col min="1" max="1" width="16" style="13" bestFit="1" customWidth="1"/>
    <col min="2" max="2" width="33.109375" style="13" bestFit="1" customWidth="1"/>
    <col min="3" max="3" width="16.33203125" style="13" bestFit="1" customWidth="1"/>
    <col min="4" max="4" width="15.6640625" style="13" bestFit="1" customWidth="1"/>
    <col min="5" max="6" width="16.6640625" style="13" bestFit="1" customWidth="1"/>
    <col min="7" max="7" width="8.77734375" style="13"/>
    <col min="8" max="8" width="16.6640625" style="13" bestFit="1" customWidth="1"/>
    <col min="9" max="9" width="15.109375" style="13" bestFit="1" customWidth="1"/>
    <col min="10" max="11" width="15" style="13" bestFit="1" customWidth="1"/>
    <col min="12" max="12" width="8.77734375" style="13"/>
    <col min="13" max="13" width="15.6640625" style="13" bestFit="1" customWidth="1"/>
    <col min="14" max="14" width="18.6640625" style="13" bestFit="1" customWidth="1"/>
    <col min="15" max="15" width="16.6640625" style="13" bestFit="1" customWidth="1"/>
    <col min="16" max="16" width="16.33203125" style="13" bestFit="1" customWidth="1"/>
    <col min="17" max="17" width="15.6640625" style="13" bestFit="1" customWidth="1"/>
    <col min="18" max="18" width="15.109375" style="13" bestFit="1" customWidth="1"/>
    <col min="19" max="19" width="8.77734375" style="13"/>
    <col min="20" max="20" width="14" style="13" bestFit="1" customWidth="1"/>
    <col min="21" max="21" width="13.44140625" style="13" bestFit="1" customWidth="1"/>
    <col min="22" max="23" width="14" style="13" bestFit="1" customWidth="1"/>
    <col min="24" max="16384" width="8.77734375" style="13"/>
  </cols>
  <sheetData>
    <row r="1" spans="1:12" x14ac:dyDescent="0.25">
      <c r="D1" s="14" t="s">
        <v>24</v>
      </c>
      <c r="E1" s="14" t="s">
        <v>46</v>
      </c>
      <c r="F1" s="14" t="s">
        <v>23</v>
      </c>
      <c r="I1" s="14" t="str">
        <f>D1</f>
        <v>Standaard</v>
      </c>
      <c r="J1" s="14" t="str">
        <f>E1</f>
        <v>Nijmegen-Betuwe</v>
      </c>
      <c r="K1" s="14" t="str">
        <f>F1</f>
        <v>Potentieel</v>
      </c>
    </row>
    <row r="2" spans="1:12" x14ac:dyDescent="0.25">
      <c r="A2" s="13" t="s">
        <v>2</v>
      </c>
      <c r="B2" s="16" t="s">
        <v>13</v>
      </c>
      <c r="C2" s="3"/>
      <c r="D2" s="3">
        <v>0</v>
      </c>
      <c r="E2" s="3">
        <f>F2</f>
        <v>0</v>
      </c>
      <c r="F2" s="3">
        <f>C2</f>
        <v>0</v>
      </c>
      <c r="H2" s="3">
        <f t="shared" ref="H2:K7" si="0">C2/4</f>
        <v>0</v>
      </c>
      <c r="I2" s="3">
        <f t="shared" si="0"/>
        <v>0</v>
      </c>
      <c r="J2" s="3">
        <f t="shared" si="0"/>
        <v>0</v>
      </c>
      <c r="K2" s="3">
        <f t="shared" si="0"/>
        <v>0</v>
      </c>
    </row>
    <row r="3" spans="1:12" x14ac:dyDescent="0.25">
      <c r="B3" s="16" t="s">
        <v>3</v>
      </c>
      <c r="C3" s="3"/>
      <c r="D3" s="3">
        <f>E3</f>
        <v>0</v>
      </c>
      <c r="E3" s="3">
        <f>F3</f>
        <v>0</v>
      </c>
      <c r="F3" s="3">
        <f>C3</f>
        <v>0</v>
      </c>
      <c r="H3" s="3">
        <f t="shared" si="0"/>
        <v>0</v>
      </c>
      <c r="I3" s="3">
        <f t="shared" si="0"/>
        <v>0</v>
      </c>
      <c r="J3" s="3">
        <f t="shared" si="0"/>
        <v>0</v>
      </c>
      <c r="K3" s="3">
        <f t="shared" si="0"/>
        <v>0</v>
      </c>
    </row>
    <row r="4" spans="1:12" x14ac:dyDescent="0.25">
      <c r="B4" s="16" t="s">
        <v>11</v>
      </c>
      <c r="C4" s="3"/>
      <c r="D4" s="3">
        <f>E4</f>
        <v>0</v>
      </c>
      <c r="E4" s="3">
        <f>F4</f>
        <v>0</v>
      </c>
      <c r="F4" s="3">
        <f>C4</f>
        <v>0</v>
      </c>
      <c r="H4" s="3">
        <f t="shared" si="0"/>
        <v>0</v>
      </c>
      <c r="I4" s="3">
        <f t="shared" si="0"/>
        <v>0</v>
      </c>
      <c r="J4" s="3">
        <f t="shared" si="0"/>
        <v>0</v>
      </c>
      <c r="K4" s="3">
        <f t="shared" si="0"/>
        <v>0</v>
      </c>
    </row>
    <row r="5" spans="1:12" x14ac:dyDescent="0.25">
      <c r="B5" s="16" t="s">
        <v>14</v>
      </c>
      <c r="C5" s="3"/>
      <c r="D5" s="3">
        <f>E5</f>
        <v>0</v>
      </c>
      <c r="E5" s="3">
        <f>F5</f>
        <v>0</v>
      </c>
      <c r="F5" s="3"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0</v>
      </c>
    </row>
    <row r="6" spans="1:12" x14ac:dyDescent="0.25">
      <c r="B6" s="16" t="s">
        <v>15</v>
      </c>
      <c r="C6" s="3"/>
      <c r="D6" s="3">
        <v>0</v>
      </c>
      <c r="E6" s="3">
        <v>0</v>
      </c>
      <c r="F6" s="3">
        <f>C6</f>
        <v>0</v>
      </c>
      <c r="H6" s="3">
        <f t="shared" si="0"/>
        <v>0</v>
      </c>
      <c r="I6" s="3">
        <f t="shared" si="0"/>
        <v>0</v>
      </c>
      <c r="J6" s="3">
        <f t="shared" si="0"/>
        <v>0</v>
      </c>
      <c r="K6" s="3">
        <f t="shared" si="0"/>
        <v>0</v>
      </c>
    </row>
    <row r="7" spans="1:12" x14ac:dyDescent="0.25">
      <c r="B7" s="16" t="s">
        <v>19</v>
      </c>
      <c r="C7" s="3">
        <v>2316260</v>
      </c>
      <c r="D7" s="3">
        <v>0</v>
      </c>
      <c r="E7" s="3">
        <f>F7</f>
        <v>2316260</v>
      </c>
      <c r="F7" s="3">
        <f>C7</f>
        <v>2316260</v>
      </c>
      <c r="H7" s="3">
        <f t="shared" si="0"/>
        <v>579065</v>
      </c>
      <c r="I7" s="3">
        <f t="shared" si="0"/>
        <v>0</v>
      </c>
      <c r="J7" s="3">
        <f t="shared" si="0"/>
        <v>579065</v>
      </c>
      <c r="K7" s="3">
        <f t="shared" si="0"/>
        <v>579065</v>
      </c>
    </row>
    <row r="8" spans="1:12" x14ac:dyDescent="0.25">
      <c r="C8" s="4">
        <f>SUM(C2:C7)</f>
        <v>2316260</v>
      </c>
      <c r="D8" s="4">
        <f>SUM(D2:D7)</f>
        <v>0</v>
      </c>
      <c r="E8" s="4">
        <f>SUM(E2:E7)</f>
        <v>2316260</v>
      </c>
      <c r="F8" s="4">
        <f>SUM(F2:F7)</f>
        <v>2316260</v>
      </c>
      <c r="G8" s="4"/>
      <c r="H8" s="4">
        <f>SUM(H2:H7)</f>
        <v>579065</v>
      </c>
      <c r="I8" s="4">
        <f>SUM(I2:I7)</f>
        <v>0</v>
      </c>
      <c r="J8" s="4">
        <f>SUM(J2:J7)</f>
        <v>579065</v>
      </c>
      <c r="K8" s="4">
        <f>SUM(K2:K7)</f>
        <v>579065</v>
      </c>
      <c r="L8" s="4"/>
    </row>
    <row r="9" spans="1:12" x14ac:dyDescent="0.25">
      <c r="B9" s="9" t="s">
        <v>25</v>
      </c>
      <c r="D9" s="17">
        <f>D8/$C8</f>
        <v>0</v>
      </c>
      <c r="E9" s="17">
        <f>E8/$C8</f>
        <v>1</v>
      </c>
      <c r="F9" s="17">
        <f>F8/$C8</f>
        <v>1</v>
      </c>
      <c r="I9" s="17">
        <f>D9</f>
        <v>0</v>
      </c>
      <c r="J9" s="17">
        <f>E9</f>
        <v>1</v>
      </c>
      <c r="K9" s="17">
        <f>F9</f>
        <v>1</v>
      </c>
    </row>
    <row r="11" spans="1:12" x14ac:dyDescent="0.25">
      <c r="B11" s="13" t="s">
        <v>4</v>
      </c>
      <c r="C11" s="3"/>
      <c r="D11" s="3">
        <v>0</v>
      </c>
      <c r="E11" s="3">
        <v>0</v>
      </c>
      <c r="F11" s="3">
        <f>C11</f>
        <v>0</v>
      </c>
      <c r="H11" s="3">
        <f>C11/4</f>
        <v>0</v>
      </c>
      <c r="I11" s="3">
        <f>D11/4</f>
        <v>0</v>
      </c>
      <c r="J11" s="3">
        <f>E11/4</f>
        <v>0</v>
      </c>
      <c r="K11" s="3">
        <f>F11/4</f>
        <v>0</v>
      </c>
    </row>
    <row r="13" spans="1:12" x14ac:dyDescent="0.25">
      <c r="A13" s="13" t="s">
        <v>17</v>
      </c>
      <c r="B13" s="13" t="s">
        <v>18</v>
      </c>
      <c r="C13" s="3">
        <f>10728000+252201</f>
        <v>10980201</v>
      </c>
      <c r="D13" s="3">
        <v>0</v>
      </c>
      <c r="E13" s="3">
        <v>0</v>
      </c>
      <c r="F13" s="3">
        <v>0</v>
      </c>
      <c r="H13" s="3">
        <f t="shared" ref="H13:K17" si="1">C13/4</f>
        <v>2745050.25</v>
      </c>
      <c r="I13" s="3">
        <f t="shared" si="1"/>
        <v>0</v>
      </c>
      <c r="J13" s="3">
        <f t="shared" si="1"/>
        <v>0</v>
      </c>
      <c r="K13" s="3">
        <f t="shared" si="1"/>
        <v>0</v>
      </c>
    </row>
    <row r="14" spans="1:12" x14ac:dyDescent="0.25">
      <c r="B14" s="13" t="s">
        <v>20</v>
      </c>
      <c r="C14" s="3">
        <v>591100</v>
      </c>
      <c r="D14" s="15">
        <v>0</v>
      </c>
      <c r="E14" s="15">
        <v>250000</v>
      </c>
      <c r="F14" s="3">
        <f>80%*C14</f>
        <v>472880</v>
      </c>
      <c r="H14" s="3">
        <f t="shared" si="1"/>
        <v>147775</v>
      </c>
      <c r="I14" s="3">
        <f t="shared" si="1"/>
        <v>0</v>
      </c>
      <c r="J14" s="3">
        <f t="shared" si="1"/>
        <v>62500</v>
      </c>
      <c r="K14" s="3">
        <f t="shared" si="1"/>
        <v>118220</v>
      </c>
    </row>
    <row r="15" spans="1:12" x14ac:dyDescent="0.25">
      <c r="B15" s="13" t="s">
        <v>21</v>
      </c>
      <c r="C15" s="3">
        <v>667188</v>
      </c>
      <c r="D15" s="15">
        <v>0</v>
      </c>
      <c r="E15" s="15">
        <v>200000</v>
      </c>
      <c r="F15" s="3">
        <f>50%*C15</f>
        <v>333594</v>
      </c>
      <c r="H15" s="3">
        <f t="shared" si="1"/>
        <v>166797</v>
      </c>
      <c r="I15" s="3">
        <f t="shared" si="1"/>
        <v>0</v>
      </c>
      <c r="J15" s="3">
        <f t="shared" si="1"/>
        <v>50000</v>
      </c>
      <c r="K15" s="3">
        <f t="shared" si="1"/>
        <v>83398.5</v>
      </c>
    </row>
    <row r="16" spans="1:12" x14ac:dyDescent="0.25">
      <c r="B16" s="13" t="s">
        <v>1</v>
      </c>
      <c r="C16" s="3">
        <v>332172</v>
      </c>
      <c r="D16" s="15">
        <v>0</v>
      </c>
      <c r="E16" s="15">
        <v>250000</v>
      </c>
      <c r="F16" s="3">
        <f>50%*C16</f>
        <v>166086</v>
      </c>
      <c r="H16" s="3">
        <f t="shared" si="1"/>
        <v>83043</v>
      </c>
      <c r="I16" s="3">
        <f t="shared" si="1"/>
        <v>0</v>
      </c>
      <c r="J16" s="3">
        <f t="shared" si="1"/>
        <v>62500</v>
      </c>
      <c r="K16" s="3">
        <f t="shared" si="1"/>
        <v>41521.5</v>
      </c>
    </row>
    <row r="17" spans="1:12" x14ac:dyDescent="0.25">
      <c r="B17" s="13" t="s">
        <v>34</v>
      </c>
      <c r="C17" s="3"/>
      <c r="D17" s="15">
        <v>0</v>
      </c>
      <c r="E17" s="15"/>
      <c r="F17" s="3"/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</row>
    <row r="18" spans="1:12" x14ac:dyDescent="0.25">
      <c r="C18" s="4">
        <f>SUM(C13:C17)</f>
        <v>12570661</v>
      </c>
      <c r="D18" s="4">
        <f>SUM(D13:D17)</f>
        <v>0</v>
      </c>
      <c r="E18" s="4">
        <f>SUM(E13:E17)</f>
        <v>700000</v>
      </c>
      <c r="F18" s="4">
        <f>SUM(F13:F17)</f>
        <v>972560</v>
      </c>
      <c r="G18" s="4"/>
      <c r="H18" s="4">
        <f>SUM(H13:H17)</f>
        <v>3142665.25</v>
      </c>
      <c r="I18" s="4">
        <f>SUM(I13:I17)</f>
        <v>0</v>
      </c>
      <c r="J18" s="4">
        <f>SUM(J13:J17)</f>
        <v>175000</v>
      </c>
      <c r="K18" s="4">
        <f>SUM(K13:K17)</f>
        <v>243140</v>
      </c>
    </row>
    <row r="19" spans="1:12" x14ac:dyDescent="0.25">
      <c r="B19" s="9" t="s">
        <v>25</v>
      </c>
      <c r="D19" s="17">
        <f>D18/$C18</f>
        <v>0</v>
      </c>
      <c r="E19" s="17">
        <f>E18/$C18</f>
        <v>5.5685218144057816E-2</v>
      </c>
      <c r="F19" s="17">
        <f>F18/$C18</f>
        <v>7.736745108312125E-2</v>
      </c>
      <c r="I19" s="17">
        <f>D19</f>
        <v>0</v>
      </c>
      <c r="J19" s="17">
        <f>E19</f>
        <v>5.5685218144057816E-2</v>
      </c>
      <c r="K19" s="17">
        <f>F19</f>
        <v>7.736745108312125E-2</v>
      </c>
    </row>
    <row r="20" spans="1:12" x14ac:dyDescent="0.25">
      <c r="A20" s="13" t="s">
        <v>6</v>
      </c>
    </row>
    <row r="21" spans="1:12" x14ac:dyDescent="0.25">
      <c r="A21" s="13" t="s">
        <v>26</v>
      </c>
      <c r="B21" s="13" t="s">
        <v>9</v>
      </c>
      <c r="C21" s="3">
        <f>3877285+181611</f>
        <v>4058896</v>
      </c>
      <c r="D21" s="3">
        <v>0</v>
      </c>
      <c r="E21" s="3">
        <v>0</v>
      </c>
      <c r="F21" s="3">
        <f>25%*C21</f>
        <v>1014724</v>
      </c>
      <c r="H21" s="3">
        <f t="shared" ref="H21:K27" si="2">C21/4</f>
        <v>1014724</v>
      </c>
      <c r="I21" s="3">
        <f t="shared" si="2"/>
        <v>0</v>
      </c>
      <c r="J21" s="3">
        <f t="shared" si="2"/>
        <v>0</v>
      </c>
      <c r="K21" s="3">
        <f t="shared" si="2"/>
        <v>253681</v>
      </c>
    </row>
    <row r="22" spans="1:12" x14ac:dyDescent="0.25">
      <c r="B22" s="13" t="s">
        <v>12</v>
      </c>
      <c r="C22" s="3">
        <v>54483</v>
      </c>
      <c r="D22" s="3">
        <v>0</v>
      </c>
      <c r="E22" s="3">
        <v>0</v>
      </c>
      <c r="F22" s="3">
        <v>0</v>
      </c>
      <c r="H22" s="3">
        <f t="shared" si="2"/>
        <v>13620.75</v>
      </c>
      <c r="I22" s="3">
        <f t="shared" si="2"/>
        <v>0</v>
      </c>
      <c r="J22" s="3">
        <f t="shared" si="2"/>
        <v>0</v>
      </c>
      <c r="K22" s="3">
        <f t="shared" si="2"/>
        <v>0</v>
      </c>
    </row>
    <row r="23" spans="1:12" x14ac:dyDescent="0.25">
      <c r="B23" s="13" t="s">
        <v>33</v>
      </c>
      <c r="C23" s="3">
        <f>1127071</f>
        <v>1127071</v>
      </c>
      <c r="D23" s="3">
        <f>E23</f>
        <v>1127071</v>
      </c>
      <c r="E23" s="3">
        <f>F23</f>
        <v>1127071</v>
      </c>
      <c r="F23" s="3">
        <f>C23</f>
        <v>1127071</v>
      </c>
      <c r="H23" s="3">
        <f t="shared" si="2"/>
        <v>281767.75</v>
      </c>
      <c r="I23" s="3">
        <f t="shared" si="2"/>
        <v>281767.75</v>
      </c>
      <c r="J23" s="3">
        <f t="shared" si="2"/>
        <v>281767.75</v>
      </c>
      <c r="K23" s="3">
        <f t="shared" si="2"/>
        <v>281767.75</v>
      </c>
    </row>
    <row r="24" spans="1:12" x14ac:dyDescent="0.25">
      <c r="B24" s="13" t="s">
        <v>10</v>
      </c>
      <c r="C24" s="3">
        <f>1011022+248553</f>
        <v>1259575</v>
      </c>
      <c r="D24" s="3">
        <v>0</v>
      </c>
      <c r="E24" s="3">
        <v>1100000</v>
      </c>
      <c r="F24" s="3">
        <f>C24</f>
        <v>1259575</v>
      </c>
      <c r="H24" s="3">
        <f t="shared" si="2"/>
        <v>314893.75</v>
      </c>
      <c r="I24" s="3">
        <f t="shared" si="2"/>
        <v>0</v>
      </c>
      <c r="J24" s="3">
        <f t="shared" si="2"/>
        <v>275000</v>
      </c>
      <c r="K24" s="3">
        <f t="shared" si="2"/>
        <v>314893.75</v>
      </c>
    </row>
    <row r="25" spans="1:12" x14ac:dyDescent="0.25">
      <c r="B25" s="13" t="s">
        <v>31</v>
      </c>
      <c r="C25" s="3">
        <f>1861111+922298</f>
        <v>2783409</v>
      </c>
      <c r="D25" s="3">
        <f>100%*C25</f>
        <v>2783409</v>
      </c>
      <c r="E25" s="3">
        <f>F25</f>
        <v>2783409</v>
      </c>
      <c r="F25" s="3">
        <f>C25</f>
        <v>2783409</v>
      </c>
      <c r="H25" s="3">
        <f t="shared" si="2"/>
        <v>695852.25</v>
      </c>
      <c r="I25" s="3">
        <f t="shared" si="2"/>
        <v>695852.25</v>
      </c>
      <c r="J25" s="3">
        <f t="shared" si="2"/>
        <v>695852.25</v>
      </c>
      <c r="K25" s="3">
        <f t="shared" si="2"/>
        <v>695852.25</v>
      </c>
    </row>
    <row r="26" spans="1:12" x14ac:dyDescent="0.25">
      <c r="B26" s="13" t="s">
        <v>27</v>
      </c>
      <c r="C26" s="3">
        <v>3205000</v>
      </c>
      <c r="D26" s="3">
        <v>0</v>
      </c>
      <c r="E26" s="3">
        <v>0</v>
      </c>
      <c r="F26" s="3">
        <v>0</v>
      </c>
      <c r="H26" s="3">
        <f t="shared" si="2"/>
        <v>801250</v>
      </c>
      <c r="I26" s="3">
        <f t="shared" si="2"/>
        <v>0</v>
      </c>
      <c r="J26" s="3">
        <f t="shared" si="2"/>
        <v>0</v>
      </c>
      <c r="K26" s="3">
        <f t="shared" si="2"/>
        <v>0</v>
      </c>
    </row>
    <row r="27" spans="1:12" x14ac:dyDescent="0.25">
      <c r="B27" s="13" t="s">
        <v>29</v>
      </c>
      <c r="C27" s="3">
        <f>7154203</f>
        <v>7154203</v>
      </c>
      <c r="D27" s="3">
        <f>100%*C27</f>
        <v>7154203</v>
      </c>
      <c r="E27" s="3">
        <f>F27</f>
        <v>7154203</v>
      </c>
      <c r="F27" s="3">
        <f>C27</f>
        <v>7154203</v>
      </c>
      <c r="H27" s="3">
        <f t="shared" si="2"/>
        <v>1788550.75</v>
      </c>
      <c r="I27" s="3">
        <f t="shared" si="2"/>
        <v>1788550.75</v>
      </c>
      <c r="J27" s="3">
        <f t="shared" si="2"/>
        <v>1788550.75</v>
      </c>
      <c r="K27" s="3">
        <f t="shared" si="2"/>
        <v>1788550.75</v>
      </c>
    </row>
    <row r="28" spans="1:12" x14ac:dyDescent="0.25">
      <c r="C28" s="4">
        <f>SUM(C21:C27)</f>
        <v>19642637</v>
      </c>
      <c r="D28" s="4">
        <f>SUM(D21:D27)</f>
        <v>11064683</v>
      </c>
      <c r="E28" s="4">
        <f>SUM(E21:E27)</f>
        <v>12164683</v>
      </c>
      <c r="F28" s="4">
        <f>SUM(F21:F27)</f>
        <v>13338982</v>
      </c>
      <c r="G28" s="4"/>
      <c r="H28" s="4">
        <f>SUM(H21:H27)</f>
        <v>4910659.25</v>
      </c>
      <c r="I28" s="4">
        <f>SUM(I21:I27)</f>
        <v>2766170.75</v>
      </c>
      <c r="J28" s="4">
        <f>SUM(J21:J27)</f>
        <v>3041170.75</v>
      </c>
      <c r="K28" s="4">
        <f>SUM(K21:K27)</f>
        <v>3334745.5</v>
      </c>
      <c r="L28" s="4"/>
    </row>
    <row r="29" spans="1:12" x14ac:dyDescent="0.25">
      <c r="B29" s="9" t="s">
        <v>25</v>
      </c>
      <c r="D29" s="17">
        <f>D28/$C28</f>
        <v>0.56329926577577139</v>
      </c>
      <c r="E29" s="17">
        <f>E28/$C28</f>
        <v>0.61929989339007796</v>
      </c>
      <c r="F29" s="17">
        <f>F28/$C28</f>
        <v>0.67908305794176205</v>
      </c>
      <c r="I29" s="17">
        <f>D29</f>
        <v>0.56329926577577139</v>
      </c>
      <c r="J29" s="17">
        <f>E29</f>
        <v>0.61929989339007796</v>
      </c>
      <c r="K29" s="17">
        <f>F29</f>
        <v>0.67908305794176205</v>
      </c>
    </row>
    <row r="31" spans="1:12" x14ac:dyDescent="0.25">
      <c r="B31" s="2" t="s">
        <v>0</v>
      </c>
      <c r="C31" s="8">
        <f>C8+C11+C18+C28</f>
        <v>34529558</v>
      </c>
      <c r="D31" s="8">
        <f t="shared" ref="D31:F31" si="3">D8+D11+D18+D28</f>
        <v>11064683</v>
      </c>
      <c r="E31" s="8">
        <f t="shared" si="3"/>
        <v>15180943</v>
      </c>
      <c r="F31" s="8">
        <f t="shared" si="3"/>
        <v>16627802</v>
      </c>
      <c r="G31" s="8"/>
      <c r="H31" s="8">
        <f>H8+H11+H18+H28</f>
        <v>8632389.5</v>
      </c>
      <c r="I31" s="8">
        <f>I8+I11+I18+I28</f>
        <v>2766170.75</v>
      </c>
      <c r="J31" s="8">
        <f>J8+J11+J18+J28</f>
        <v>3795235.75</v>
      </c>
      <c r="K31" s="8">
        <f>K8+K11+K18+K28</f>
        <v>4156950.5</v>
      </c>
      <c r="L31" s="8"/>
    </row>
    <row r="32" spans="1:12" x14ac:dyDescent="0.25">
      <c r="B32" s="9" t="s">
        <v>25</v>
      </c>
      <c r="C32" s="3"/>
      <c r="D32" s="17">
        <f>D31/$C31</f>
        <v>0.32044091036438982</v>
      </c>
      <c r="E32" s="17">
        <f>E31/$C31</f>
        <v>0.43965066103655309</v>
      </c>
      <c r="F32" s="17">
        <f>F31/$C31</f>
        <v>0.48155270333897698</v>
      </c>
      <c r="I32" s="17">
        <f>D32</f>
        <v>0.32044091036438982</v>
      </c>
      <c r="J32" s="17">
        <f>E32</f>
        <v>0.43965066103655309</v>
      </c>
      <c r="K32" s="17">
        <f>F32</f>
        <v>0.48155270333897698</v>
      </c>
    </row>
    <row r="33" spans="2:10" x14ac:dyDescent="0.25">
      <c r="H33" s="5"/>
      <c r="I33" s="5"/>
      <c r="J33" s="5"/>
    </row>
    <row r="34" spans="2:10" x14ac:dyDescent="0.25">
      <c r="B34" s="13" t="s">
        <v>32</v>
      </c>
      <c r="C34" s="3">
        <v>16835737</v>
      </c>
      <c r="H34" s="5">
        <f>C34/4</f>
        <v>4208934.25</v>
      </c>
      <c r="I34" s="5"/>
      <c r="J34" s="5"/>
    </row>
    <row r="35" spans="2:10" x14ac:dyDescent="0.25">
      <c r="B35" s="13" t="s">
        <v>28</v>
      </c>
      <c r="C35" s="3">
        <v>2218317</v>
      </c>
      <c r="H35" s="5">
        <f>C35/4</f>
        <v>554579.25</v>
      </c>
      <c r="I35" s="5"/>
      <c r="J35" s="5"/>
    </row>
    <row r="36" spans="2:10" x14ac:dyDescent="0.25">
      <c r="B36" s="13" t="s">
        <v>30</v>
      </c>
      <c r="C36" s="3">
        <f>C34-C35</f>
        <v>14617420</v>
      </c>
      <c r="H36" s="5">
        <f>C36/4</f>
        <v>3654355</v>
      </c>
      <c r="I36" s="5"/>
      <c r="J36" s="5"/>
    </row>
    <row r="37" spans="2:10" x14ac:dyDescent="0.25">
      <c r="C37" s="3"/>
    </row>
    <row r="38" spans="2:10" x14ac:dyDescent="0.25">
      <c r="C38" s="3"/>
    </row>
    <row r="39" spans="2:10" x14ac:dyDescent="0.25">
      <c r="C39" s="3"/>
    </row>
    <row r="40" spans="2:10" x14ac:dyDescent="0.25">
      <c r="C40" s="3"/>
    </row>
    <row r="41" spans="2:10" x14ac:dyDescent="0.25">
      <c r="C41" s="3"/>
    </row>
    <row r="42" spans="2:10" x14ac:dyDescent="0.25">
      <c r="C42" s="3"/>
    </row>
    <row r="43" spans="2:10" x14ac:dyDescent="0.25">
      <c r="C43" s="3"/>
    </row>
    <row r="44" spans="2:10" x14ac:dyDescent="0.25">
      <c r="C44" s="3"/>
    </row>
    <row r="45" spans="2:10" x14ac:dyDescent="0.25">
      <c r="C45" s="3"/>
    </row>
    <row r="46" spans="2:10" x14ac:dyDescent="0.25">
      <c r="C46" s="3"/>
    </row>
    <row r="47" spans="2:10" x14ac:dyDescent="0.25">
      <c r="C47" s="3"/>
    </row>
    <row r="48" spans="2:10" x14ac:dyDescent="0.25">
      <c r="C48" s="3"/>
    </row>
    <row r="49" spans="3:3" x14ac:dyDescent="0.25">
      <c r="C49" s="3"/>
    </row>
    <row r="50" spans="3:3" x14ac:dyDescent="0.25">
      <c r="C50" s="3"/>
    </row>
    <row r="51" spans="3:3" x14ac:dyDescent="0.25">
      <c r="C51" s="3"/>
    </row>
    <row r="52" spans="3:3" x14ac:dyDescent="0.25">
      <c r="C5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818DF8D53DC49BDE38D3B8D4958D6" ma:contentTypeVersion="12" ma:contentTypeDescription="Een nieuw document maken." ma:contentTypeScope="" ma:versionID="e5c087daf341948610f67d85adff9866">
  <xsd:schema xmlns:xsd="http://www.w3.org/2001/XMLSchema" xmlns:xs="http://www.w3.org/2001/XMLSchema" xmlns:p="http://schemas.microsoft.com/office/2006/metadata/properties" xmlns:ns2="0fd13cb0-b247-4ff9-9fad-4675ae3026ab" xmlns:ns3="d839cc5a-7fd2-4942-946e-9d8dd9a12ef7" targetNamespace="http://schemas.microsoft.com/office/2006/metadata/properties" ma:root="true" ma:fieldsID="96362e9dc373981659780452e841011d" ns2:_="" ns3:_="">
    <xsd:import namespace="0fd13cb0-b247-4ff9-9fad-4675ae3026ab"/>
    <xsd:import namespace="d839cc5a-7fd2-4942-946e-9d8dd9a12e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13cb0-b247-4ff9-9fad-4675ae3026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9cc5a-7fd2-4942-946e-9d8dd9a12e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A1F17-99B2-4C06-B1F7-DCEDC2176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d13cb0-b247-4ff9-9fad-4675ae3026ab"/>
    <ds:schemaRef ds:uri="d839cc5a-7fd2-4942-946e-9d8dd9a12e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F26CEC-206B-4A7C-A57B-D53ED6CC55BB}">
  <ds:schemaRefs>
    <ds:schemaRef ds:uri="http://purl.org/dc/terms/"/>
    <ds:schemaRef ds:uri="http://schemas.microsoft.com/office/2006/metadata/properties"/>
    <ds:schemaRef ds:uri="b7ba70f8-981a-46e6-9fed-e1cbde52af5a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2c25f237-ec64-45c8-b819-f88ec7c149e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1DD1E5-6A83-46C0-941E-4944816147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Lokale opbrengst WP Deil</vt:lpstr>
      <vt:lpstr>Lokale opbrengst WP Avri</vt:lpstr>
      <vt:lpstr>Avri Solar</vt:lpstr>
      <vt:lpstr>Bedrijfsdak</vt:lpstr>
      <vt:lpstr>Nijmegen-Betuwe</vt:lpstr>
    </vt:vector>
  </TitlesOfParts>
  <Manager/>
  <Company>Burgerwindcooperatie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 Adams</dc:creator>
  <cp:keywords/>
  <dc:description/>
  <cp:lastModifiedBy>Kristel Kleinhesselink</cp:lastModifiedBy>
  <cp:revision/>
  <dcterms:created xsi:type="dcterms:W3CDTF">2014-03-28T12:42:23Z</dcterms:created>
  <dcterms:modified xsi:type="dcterms:W3CDTF">2020-09-07T07:10:45Z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0x010100D1C818DF8D53DC49BDE38D3B8D4958D6</vt:lpwstr>
  </property>
</Properties>
</file>